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bankvic.sharepoint.com/sites/CreditOperations/00/Calculators/DRAFT_280825/"/>
    </mc:Choice>
  </mc:AlternateContent>
  <xr:revisionPtr revIDLastSave="665" documentId="13_ncr:1_{BBB40510-56BB-474A-89B5-3BA77F7E244D}" xr6:coauthVersionLast="47" xr6:coauthVersionMax="47" xr10:uidLastSave="{20329E0E-B009-41DA-95B2-51A472572696}"/>
  <bookViews>
    <workbookView xWindow="10755" yWindow="-20745" windowWidth="21840" windowHeight="19350" xr2:uid="{9A4155B7-A3A0-4DF4-BE1F-3AF8B13DF934}"/>
  </bookViews>
  <sheets>
    <sheet name="Loan Serviceability Calculator" sheetId="5" r:id="rId1"/>
    <sheet name="YTD Income Calculator" sheetId="7" r:id="rId2"/>
    <sheet name="User Guidelines" sheetId="6" r:id="rId3"/>
    <sheet name="Variables" sheetId="3" state="hidden" r:id="rId4"/>
    <sheet name="Administration" sheetId="8" state="hidden" r:id="rId5"/>
  </sheets>
  <definedNames>
    <definedName name="Tax">Variables!$B$23:$D$28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3" l="1"/>
  <c r="X15" i="3"/>
  <c r="X16" i="3"/>
  <c r="X13" i="3"/>
  <c r="J103" i="5" l="1"/>
  <c r="J97" i="5" l="1"/>
  <c r="J95" i="5"/>
  <c r="J89" i="5"/>
  <c r="J87" i="5"/>
  <c r="D24" i="5"/>
  <c r="C75" i="5"/>
  <c r="C73" i="5"/>
  <c r="C71" i="5"/>
  <c r="C69" i="5"/>
  <c r="X25" i="3" l="1"/>
  <c r="X26" i="3"/>
  <c r="X27" i="3"/>
  <c r="X24" i="3"/>
  <c r="W37" i="3"/>
  <c r="V37" i="3"/>
  <c r="U37" i="3"/>
  <c r="T37" i="3"/>
  <c r="S37" i="3"/>
  <c r="R37" i="3"/>
  <c r="Q37" i="3"/>
  <c r="P37" i="3"/>
  <c r="O37" i="3"/>
  <c r="N37" i="3"/>
  <c r="M37" i="3"/>
  <c r="L37" i="3"/>
  <c r="K37" i="3"/>
  <c r="J37" i="3"/>
  <c r="X36" i="3"/>
  <c r="W36" i="3"/>
  <c r="V36" i="3"/>
  <c r="U36" i="3"/>
  <c r="T36" i="3"/>
  <c r="S36" i="3"/>
  <c r="R36" i="3"/>
  <c r="Q36" i="3"/>
  <c r="P36" i="3"/>
  <c r="O36" i="3"/>
  <c r="N36" i="3"/>
  <c r="M36" i="3"/>
  <c r="L36" i="3"/>
  <c r="K36" i="3"/>
  <c r="J36" i="3"/>
  <c r="X35" i="3"/>
  <c r="W35" i="3"/>
  <c r="V35" i="3"/>
  <c r="U35" i="3"/>
  <c r="T35" i="3"/>
  <c r="S35" i="3"/>
  <c r="R35" i="3"/>
  <c r="Q35" i="3"/>
  <c r="P35" i="3"/>
  <c r="O35" i="3"/>
  <c r="N35" i="3"/>
  <c r="M35" i="3"/>
  <c r="L35" i="3"/>
  <c r="K35" i="3"/>
  <c r="J35" i="3"/>
  <c r="K29" i="3"/>
  <c r="K30" i="3" s="1"/>
  <c r="K31" i="3" s="1"/>
  <c r="K32" i="3" s="1"/>
  <c r="K33" i="3" s="1"/>
  <c r="K34" i="3" s="1"/>
  <c r="J28" i="3"/>
  <c r="J29" i="3" s="1"/>
  <c r="J30" i="3" s="1"/>
  <c r="J31" i="3" s="1"/>
  <c r="J32" i="3" s="1"/>
  <c r="J33" i="3" s="1"/>
  <c r="J34" i="3" s="1"/>
  <c r="K28" i="3"/>
  <c r="J17" i="3"/>
  <c r="J18" i="3" s="1"/>
  <c r="J19" i="3" s="1"/>
  <c r="J20" i="3" s="1"/>
  <c r="J21" i="3" s="1"/>
  <c r="J22" i="3" s="1"/>
  <c r="J23" i="3" s="1"/>
  <c r="K17" i="3"/>
  <c r="K18" i="3" s="1"/>
  <c r="K19" i="3" s="1"/>
  <c r="K20" i="3" s="1"/>
  <c r="K21" i="3" s="1"/>
  <c r="K22" i="3" s="1"/>
  <c r="K23" i="3" s="1"/>
  <c r="L17" i="3"/>
  <c r="L18" i="3" s="1"/>
  <c r="L19" i="3" s="1"/>
  <c r="L20" i="3" s="1"/>
  <c r="L21" i="3" s="1"/>
  <c r="L22" i="3" s="1"/>
  <c r="L23" i="3" s="1"/>
  <c r="L28" i="3"/>
  <c r="L29" i="3" s="1"/>
  <c r="L30" i="3" s="1"/>
  <c r="L31" i="3" s="1"/>
  <c r="L32" i="3" s="1"/>
  <c r="L33" i="3" s="1"/>
  <c r="L34" i="3" s="1"/>
  <c r="O29" i="3"/>
  <c r="O30" i="3" s="1"/>
  <c r="O31" i="3" s="1"/>
  <c r="O32" i="3" s="1"/>
  <c r="O33" i="3" s="1"/>
  <c r="O34" i="3" s="1"/>
  <c r="Q29" i="3"/>
  <c r="Q30" i="3" s="1"/>
  <c r="Q31" i="3" s="1"/>
  <c r="Q32" i="3" s="1"/>
  <c r="Q33" i="3" s="1"/>
  <c r="Q34" i="3" s="1"/>
  <c r="R29" i="3"/>
  <c r="S29" i="3"/>
  <c r="T29" i="3"/>
  <c r="U29" i="3"/>
  <c r="U30" i="3" s="1"/>
  <c r="U31" i="3" s="1"/>
  <c r="U32" i="3" s="1"/>
  <c r="U33" i="3" s="1"/>
  <c r="U34" i="3" s="1"/>
  <c r="V29" i="3"/>
  <c r="V30" i="3" s="1"/>
  <c r="V31" i="3" s="1"/>
  <c r="V32" i="3" s="1"/>
  <c r="V33" i="3" s="1"/>
  <c r="V34" i="3" s="1"/>
  <c r="W29" i="3"/>
  <c r="W30" i="3" s="1"/>
  <c r="W31" i="3" s="1"/>
  <c r="W32" i="3" s="1"/>
  <c r="W33" i="3" s="1"/>
  <c r="W34" i="3" s="1"/>
  <c r="X34" i="3" s="1"/>
  <c r="R30" i="3"/>
  <c r="R31" i="3" s="1"/>
  <c r="R32" i="3" s="1"/>
  <c r="R33" i="3" s="1"/>
  <c r="R34" i="3" s="1"/>
  <c r="S30" i="3"/>
  <c r="S31" i="3" s="1"/>
  <c r="S32" i="3" s="1"/>
  <c r="S33" i="3" s="1"/>
  <c r="S34" i="3" s="1"/>
  <c r="T30" i="3"/>
  <c r="T31" i="3" s="1"/>
  <c r="T32" i="3" s="1"/>
  <c r="T33" i="3" s="1"/>
  <c r="T34" i="3" s="1"/>
  <c r="N28" i="3"/>
  <c r="N29" i="3" s="1"/>
  <c r="N30" i="3" s="1"/>
  <c r="N31" i="3" s="1"/>
  <c r="N32" i="3" s="1"/>
  <c r="N33" i="3" s="1"/>
  <c r="N34" i="3" s="1"/>
  <c r="O28" i="3"/>
  <c r="P28" i="3"/>
  <c r="P29" i="3" s="1"/>
  <c r="P30" i="3" s="1"/>
  <c r="P31" i="3" s="1"/>
  <c r="P32" i="3" s="1"/>
  <c r="P33" i="3" s="1"/>
  <c r="P34" i="3" s="1"/>
  <c r="Q28" i="3"/>
  <c r="R28" i="3"/>
  <c r="S28" i="3"/>
  <c r="T28" i="3"/>
  <c r="U28" i="3"/>
  <c r="V28" i="3"/>
  <c r="W28" i="3"/>
  <c r="X28" i="3" s="1"/>
  <c r="M28" i="3"/>
  <c r="M29" i="3" s="1"/>
  <c r="M30" i="3" s="1"/>
  <c r="M31" i="3" s="1"/>
  <c r="M32" i="3" s="1"/>
  <c r="M33" i="3" s="1"/>
  <c r="M34" i="3" s="1"/>
  <c r="O18" i="3"/>
  <c r="O19" i="3" s="1"/>
  <c r="O20" i="3" s="1"/>
  <c r="O21" i="3" s="1"/>
  <c r="O22" i="3" s="1"/>
  <c r="O23" i="3" s="1"/>
  <c r="P18" i="3"/>
  <c r="P19" i="3" s="1"/>
  <c r="P20" i="3" s="1"/>
  <c r="P21" i="3" s="1"/>
  <c r="P22" i="3" s="1"/>
  <c r="P23" i="3" s="1"/>
  <c r="Q18" i="3"/>
  <c r="Q19" i="3" s="1"/>
  <c r="Q20" i="3" s="1"/>
  <c r="Q21" i="3" s="1"/>
  <c r="Q22" i="3" s="1"/>
  <c r="Q23" i="3" s="1"/>
  <c r="R18" i="3"/>
  <c r="R19" i="3" s="1"/>
  <c r="R20" i="3" s="1"/>
  <c r="R21" i="3" s="1"/>
  <c r="R22" i="3" s="1"/>
  <c r="R23" i="3" s="1"/>
  <c r="S18" i="3"/>
  <c r="S19" i="3" s="1"/>
  <c r="S20" i="3" s="1"/>
  <c r="S21" i="3" s="1"/>
  <c r="S22" i="3" s="1"/>
  <c r="S23" i="3" s="1"/>
  <c r="T18" i="3"/>
  <c r="T19" i="3" s="1"/>
  <c r="T20" i="3" s="1"/>
  <c r="T21" i="3" s="1"/>
  <c r="T22" i="3" s="1"/>
  <c r="T23" i="3" s="1"/>
  <c r="U18" i="3"/>
  <c r="U19" i="3" s="1"/>
  <c r="U20" i="3" s="1"/>
  <c r="U21" i="3" s="1"/>
  <c r="U22" i="3" s="1"/>
  <c r="U23" i="3" s="1"/>
  <c r="V18" i="3"/>
  <c r="V19" i="3" s="1"/>
  <c r="V20" i="3" s="1"/>
  <c r="V21" i="3" s="1"/>
  <c r="V22" i="3" s="1"/>
  <c r="V23" i="3" s="1"/>
  <c r="N17" i="3"/>
  <c r="N18" i="3" s="1"/>
  <c r="N19" i="3" s="1"/>
  <c r="N20" i="3" s="1"/>
  <c r="N21" i="3" s="1"/>
  <c r="N22" i="3" s="1"/>
  <c r="N23" i="3" s="1"/>
  <c r="O17" i="3"/>
  <c r="P17" i="3"/>
  <c r="Q17" i="3"/>
  <c r="R17" i="3"/>
  <c r="S17" i="3"/>
  <c r="T17" i="3"/>
  <c r="U17" i="3"/>
  <c r="V17" i="3"/>
  <c r="W17" i="3"/>
  <c r="W18" i="3" s="1"/>
  <c r="M17" i="3"/>
  <c r="M18" i="3" s="1"/>
  <c r="M19" i="3" s="1"/>
  <c r="M20" i="3" s="1"/>
  <c r="M21" i="3" s="1"/>
  <c r="M22" i="3" s="1"/>
  <c r="M23" i="3" s="1"/>
  <c r="I34" i="3"/>
  <c r="I33" i="3"/>
  <c r="I32" i="3"/>
  <c r="I31" i="3"/>
  <c r="I30" i="3"/>
  <c r="I29" i="3"/>
  <c r="I28" i="3"/>
  <c r="I27" i="3"/>
  <c r="I26" i="3"/>
  <c r="I25" i="3"/>
  <c r="I24" i="3"/>
  <c r="I23" i="3"/>
  <c r="H120" i="5" s="1"/>
  <c r="I22" i="3"/>
  <c r="I21" i="3"/>
  <c r="I20" i="3"/>
  <c r="I19" i="3"/>
  <c r="I18" i="3"/>
  <c r="I17" i="3"/>
  <c r="I16" i="3"/>
  <c r="I15" i="3"/>
  <c r="I14" i="3"/>
  <c r="I13" i="3"/>
  <c r="L75" i="5"/>
  <c r="L73" i="5"/>
  <c r="L71" i="5"/>
  <c r="L69" i="5"/>
  <c r="X31" i="3" l="1"/>
  <c r="X30" i="3"/>
  <c r="X33" i="3"/>
  <c r="X32" i="3"/>
  <c r="X29" i="3"/>
  <c r="W19" i="3"/>
  <c r="X18" i="3"/>
  <c r="X17" i="3"/>
  <c r="O14" i="7"/>
  <c r="T20" i="7"/>
  <c r="T22" i="7" s="1"/>
  <c r="O20" i="7"/>
  <c r="O22" i="7" s="1"/>
  <c r="J20" i="7"/>
  <c r="J22" i="7" s="1"/>
  <c r="T14" i="7"/>
  <c r="J14" i="7"/>
  <c r="W20" i="3" l="1"/>
  <c r="X19" i="3"/>
  <c r="T24" i="7"/>
  <c r="T26" i="7" s="1"/>
  <c r="T28" i="7" s="1"/>
  <c r="T33" i="7" s="1"/>
  <c r="T35" i="7" s="1"/>
  <c r="O24" i="7"/>
  <c r="O26" i="7" s="1"/>
  <c r="O28" i="7" s="1"/>
  <c r="O33" i="7" s="1"/>
  <c r="O35" i="7" s="1"/>
  <c r="J24" i="7"/>
  <c r="J26" i="7" s="1"/>
  <c r="J28" i="7" s="1"/>
  <c r="J33" i="7" s="1"/>
  <c r="J35" i="7" s="1"/>
  <c r="E14" i="7"/>
  <c r="E20" i="7"/>
  <c r="E22" i="7" s="1"/>
  <c r="W21" i="3" l="1"/>
  <c r="X20" i="3"/>
  <c r="E24" i="7"/>
  <c r="E26" i="7" s="1"/>
  <c r="E28" i="7" s="1"/>
  <c r="E33" i="7" s="1"/>
  <c r="E35" i="7" s="1"/>
  <c r="L49" i="5"/>
  <c r="W22" i="3" l="1"/>
  <c r="X21" i="3"/>
  <c r="J51" i="5"/>
  <c r="J53" i="5" s="1"/>
  <c r="H51" i="5"/>
  <c r="H53" i="5" s="1"/>
  <c r="F51" i="5"/>
  <c r="D51" i="5"/>
  <c r="W23" i="3" l="1"/>
  <c r="X23" i="3" s="1"/>
  <c r="X22" i="3"/>
  <c r="F53" i="5"/>
  <c r="L51" i="5"/>
  <c r="O51" i="5" s="1" a="1"/>
  <c r="O51" i="5" s="1"/>
  <c r="D120" i="5" s="1"/>
  <c r="L22" i="5"/>
  <c r="L20" i="5"/>
  <c r="L18" i="5"/>
  <c r="L16" i="5"/>
  <c r="J120" i="5" l="1"/>
  <c r="D53" i="5"/>
  <c r="J37" i="5"/>
  <c r="J16" i="5"/>
  <c r="J85" i="5"/>
  <c r="J83" i="5"/>
  <c r="J107" i="5" s="1"/>
  <c r="J22" i="5"/>
  <c r="J20" i="5"/>
  <c r="J18" i="5"/>
  <c r="L24" i="5" l="1"/>
  <c r="L59" i="5" l="1"/>
  <c r="L61" i="5"/>
  <c r="L63" i="5"/>
  <c r="L65" i="5"/>
  <c r="J77" i="5" l="1"/>
  <c r="F77" i="5"/>
  <c r="H77" i="5"/>
  <c r="D77" i="5" l="1"/>
  <c r="L77" i="5" s="1"/>
  <c r="D128" i="5" l="1"/>
  <c r="D130" i="5"/>
  <c r="D122" i="5"/>
  <c r="D124" i="5" s="1"/>
  <c r="J124" i="5"/>
  <c r="H103" i="5" l="1"/>
  <c r="F103" i="5"/>
  <c r="D132" i="5" l="1"/>
  <c r="J39" i="5" l="1"/>
  <c r="K2" i="3" l="1"/>
  <c r="K3" i="3" s="1"/>
  <c r="K4" i="3" s="1"/>
  <c r="J24" i="5" l="1"/>
  <c r="L107" i="5"/>
  <c r="D134" i="5" l="1"/>
  <c r="D136" i="5"/>
  <c r="J128" i="5" s="1"/>
  <c r="L130" i="5" l="1"/>
  <c r="J130" i="5" s="1"/>
  <c r="J134" i="5" l="1"/>
  <c r="L134" i="5" s="1"/>
  <c r="J132" i="5"/>
  <c r="L13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<sst xmlns="http://schemas.openxmlformats.org/spreadsheetml/2006/main" count="342" uniqueCount="205">
  <si>
    <t>Applicant/s details</t>
  </si>
  <si>
    <t>Applicant 1</t>
  </si>
  <si>
    <t>Applicant 2</t>
  </si>
  <si>
    <t>Applicant 3</t>
  </si>
  <si>
    <t>Applicant 4</t>
  </si>
  <si>
    <t>Applicant Name/s</t>
  </si>
  <si>
    <t>New BankVic Loan Structure</t>
  </si>
  <si>
    <t>Loan Amount
(inc. Redraw)</t>
  </si>
  <si>
    <r>
      <t xml:space="preserve">Loan Terms (months)
</t>
    </r>
    <r>
      <rPr>
        <i/>
        <sz val="10"/>
        <color theme="1"/>
        <rFont val="Arial"/>
        <family val="2"/>
      </rPr>
      <t>(For I/O, Enter remaining term after I/O expiry</t>
    </r>
    <r>
      <rPr>
        <sz val="10"/>
        <color theme="1"/>
        <rFont val="Arial"/>
        <family val="2"/>
      </rPr>
      <t>)</t>
    </r>
  </si>
  <si>
    <r>
      <t xml:space="preserve">Interest Rate %
</t>
    </r>
    <r>
      <rPr>
        <i/>
        <sz val="10"/>
        <color theme="1"/>
        <rFont val="Arial"/>
        <family val="2"/>
      </rPr>
      <t>(For Fixed &amp; I/O 
Enter Revert Rate)</t>
    </r>
  </si>
  <si>
    <t>Assessment Repayments (monthly)</t>
  </si>
  <si>
    <t>Estimated Loan Repayments (monthly)</t>
  </si>
  <si>
    <t>Loan 1</t>
  </si>
  <si>
    <t>Loan 2</t>
  </si>
  <si>
    <t>Loan 3</t>
  </si>
  <si>
    <t>Loan 4</t>
  </si>
  <si>
    <t>Total Loan Amount</t>
  </si>
  <si>
    <t>Security Details</t>
  </si>
  <si>
    <t>Address</t>
  </si>
  <si>
    <t>Postcode</t>
  </si>
  <si>
    <t>Security Value</t>
  </si>
  <si>
    <t>Security 1</t>
  </si>
  <si>
    <t>Security 2</t>
  </si>
  <si>
    <t>Security 3</t>
  </si>
  <si>
    <t>Security 4</t>
  </si>
  <si>
    <t>Total Security Value</t>
  </si>
  <si>
    <t>Total LVR (%)</t>
  </si>
  <si>
    <t>Income</t>
  </si>
  <si>
    <t>Base Annual Salary (PAYG)</t>
  </si>
  <si>
    <r>
      <t xml:space="preserve">Bonus/Commission/Overtime
</t>
    </r>
    <r>
      <rPr>
        <i/>
        <sz val="10"/>
        <color theme="1"/>
        <rFont val="Arial"/>
        <family val="2"/>
      </rPr>
      <t>(Enter a total amount you wish to use for assessment)</t>
    </r>
  </si>
  <si>
    <t>Other Income (taxable)</t>
  </si>
  <si>
    <t>Untaxed Allowable Income</t>
  </si>
  <si>
    <t>Income Band</t>
  </si>
  <si>
    <t>Total Taxable Income</t>
  </si>
  <si>
    <t>Total Net Income</t>
  </si>
  <si>
    <t>This will be hidden</t>
  </si>
  <si>
    <t>Rental Income</t>
  </si>
  <si>
    <t>Property Address</t>
  </si>
  <si>
    <t>Rental Type</t>
  </si>
  <si>
    <t>Annual Rental Income</t>
  </si>
  <si>
    <t>Allowable Rental Income</t>
  </si>
  <si>
    <t>Property 1</t>
  </si>
  <si>
    <t>Property 2</t>
  </si>
  <si>
    <t>Property 3</t>
  </si>
  <si>
    <t>Property 4</t>
  </si>
  <si>
    <r>
      <t>Income Allocation</t>
    </r>
    <r>
      <rPr>
        <i/>
        <sz val="11"/>
        <color theme="1"/>
        <rFont val="Arial"/>
        <family val="2"/>
      </rPr>
      <t xml:space="preserve">
Allocation to Each Applicant (%)</t>
    </r>
  </si>
  <si>
    <t>Total Rental Income</t>
  </si>
  <si>
    <t>All Other Liability (Combined)</t>
  </si>
  <si>
    <t xml:space="preserve">Existing Home Loan 1 </t>
  </si>
  <si>
    <t>Existing Home Loan 2</t>
  </si>
  <si>
    <t>Existing Home Loan 3</t>
  </si>
  <si>
    <t>Existing Home Loan 4</t>
  </si>
  <si>
    <t>Total Existing Personal Loan/s</t>
  </si>
  <si>
    <t>Total Existing Lease/Car Loan/s</t>
  </si>
  <si>
    <t>Total Existing Credit Card or Overdraft Limit</t>
  </si>
  <si>
    <t>Total New Credit Card or Overdraft Limit</t>
  </si>
  <si>
    <t>HELP / HECS</t>
  </si>
  <si>
    <t>Other Debts</t>
  </si>
  <si>
    <t>Buy Now Pay Later (BNPL) Facilities</t>
  </si>
  <si>
    <t>Rent / Board Commitments</t>
  </si>
  <si>
    <t>Total Monthly Commitments</t>
  </si>
  <si>
    <t>Monthly Living Expenses (combined)</t>
  </si>
  <si>
    <t>Household Type</t>
  </si>
  <si>
    <t>Number of Dependents</t>
  </si>
  <si>
    <t>Number of Dependants</t>
  </si>
  <si>
    <t>Declared General Expenses</t>
  </si>
  <si>
    <t>Declared Other Expenses</t>
  </si>
  <si>
    <t>Calculated HEM Expenses</t>
  </si>
  <si>
    <t>Calculated HEM Expense</t>
  </si>
  <si>
    <t>Calculated Living Expense</t>
  </si>
  <si>
    <t>Total Assessed Living Expense</t>
  </si>
  <si>
    <t>Serviceability Results</t>
  </si>
  <si>
    <t>Total Gross Income</t>
  </si>
  <si>
    <t>NDI</t>
  </si>
  <si>
    <t>NDI Ratio</t>
  </si>
  <si>
    <t>Total Existing/New Loan Limits</t>
  </si>
  <si>
    <t>Net Monthly Surplus</t>
  </si>
  <si>
    <t>Total Existing/New Commitments</t>
  </si>
  <si>
    <t>Debt To Income (DTI)</t>
  </si>
  <si>
    <t>Total Living Expenses</t>
  </si>
  <si>
    <t>Calculations are estimates and should be taken as a guide only based on the accuracy of the information entered and is not an offer of finance. 
Calculations assume that the interest rate remains unchanged for the full term of the loan. BankVic lending criteria applies to applications submitted.</t>
  </si>
  <si>
    <r>
      <t>YTD Income Calculator</t>
    </r>
    <r>
      <rPr>
        <b/>
        <sz val="10"/>
        <color theme="0"/>
        <rFont val="Arial Black"/>
        <family val="2"/>
      </rPr>
      <t xml:space="preserve"> v.1.1</t>
    </r>
  </si>
  <si>
    <t>Gross Annual Income - Applicant 1</t>
  </si>
  <si>
    <t>Gross Annual Income - Applicant 2</t>
  </si>
  <si>
    <t>Gross Annual Income - Applicant 3</t>
  </si>
  <si>
    <t>Gross Annual Income - Applicant 4</t>
  </si>
  <si>
    <t>YTD Income (from pay slip)</t>
  </si>
  <si>
    <t>One-off Deductions</t>
  </si>
  <si>
    <t>Adjusted YTD Income</t>
  </si>
  <si>
    <t>Start Date</t>
  </si>
  <si>
    <t>End Date</t>
  </si>
  <si>
    <t>Number of Days</t>
  </si>
  <si>
    <t>Number of Weeks</t>
  </si>
  <si>
    <t>Average Per Week</t>
  </si>
  <si>
    <t>Annualised Income</t>
  </si>
  <si>
    <t>Total Overtime &amp; Allowances</t>
  </si>
  <si>
    <t>% of Overtime &amp; Allowances Used</t>
  </si>
  <si>
    <t>$ of Overtime &amp; Allowances Used</t>
  </si>
  <si>
    <r>
      <rPr>
        <b/>
        <sz val="10"/>
        <color theme="1"/>
        <rFont val="Arial"/>
        <family val="2"/>
      </rPr>
      <t xml:space="preserve">Total Gross Income Used
</t>
    </r>
    <r>
      <rPr>
        <i/>
        <sz val="10"/>
        <color theme="1"/>
        <rFont val="Arial"/>
        <family val="2"/>
      </rPr>
      <t>(Base Annual Salary + Overtime/Allowances Used)</t>
    </r>
  </si>
  <si>
    <t>Total Gross Income Used
(Base Annual Salary + Overtime/Allowances Used)</t>
  </si>
  <si>
    <t>BankVic Loan Serviceability Calculator User Guidelines</t>
  </si>
  <si>
    <t>Applicant/s Full Name</t>
  </si>
  <si>
    <t>Indicate the Full name of all applicants.
If application is in a company name, include the surnames of the Directors.</t>
  </si>
  <si>
    <t>Status (Couple or Single)</t>
  </si>
  <si>
    <t>The status of each applicant: Single or Couple with other applicant in the same application.
For Company Applicants, the field is not mandatory.</t>
  </si>
  <si>
    <t>The limit of the new loan amount including redraw amount.</t>
  </si>
  <si>
    <t>Loan Terms (months)</t>
  </si>
  <si>
    <t>Enter a number of months e.g. 360 for a 30 year loan</t>
  </si>
  <si>
    <t>Interest Rate %</t>
  </si>
  <si>
    <t>Interest rate applicable to the loan in percent</t>
  </si>
  <si>
    <t>Loan Repayments (monthly)</t>
  </si>
  <si>
    <t>Loan Repayments based on Assessment Interest rate</t>
  </si>
  <si>
    <t>Address of each security is securing the new loan</t>
  </si>
  <si>
    <t>Postcode of each security is securing the new loan</t>
  </si>
  <si>
    <t>The value of the security that is securing the new loan</t>
  </si>
  <si>
    <t>Loan Value Ratio that is calculated dividing total loan amount to total security value</t>
  </si>
  <si>
    <t>Gross Annual Income</t>
  </si>
  <si>
    <t>Gross income earned by the applicant</t>
  </si>
  <si>
    <t>Base Annual Salary + Overtime &amp; Allowances Used</t>
  </si>
  <si>
    <t>Bonus/Commission/Overtime</t>
  </si>
  <si>
    <t>Non base income</t>
  </si>
  <si>
    <t>Other income earned by the applicant</t>
  </si>
  <si>
    <t>Untaxed allowable income</t>
  </si>
  <si>
    <t>Address of each investment property</t>
  </si>
  <si>
    <t>Income sourced from Permanent, Short term or Serviced apartment/Airbnb</t>
  </si>
  <si>
    <t>Annual rental income sourced from Permanent, Short term or Serviced apartment/Airbnb</t>
  </si>
  <si>
    <t>The acceptable annual rental income based on BankVic policy</t>
  </si>
  <si>
    <t>Self Employed Income</t>
  </si>
  <si>
    <t>Self Employed Income ($)</t>
  </si>
  <si>
    <t>All Other Liabilities</t>
  </si>
  <si>
    <t>Existing Loan - Loan Limit ($)</t>
  </si>
  <si>
    <t>The current limit of the loan</t>
  </si>
  <si>
    <t>Personal Loan</t>
  </si>
  <si>
    <t xml:space="preserve">Personal Loans details </t>
  </si>
  <si>
    <t>Lease/Car Loan</t>
  </si>
  <si>
    <t>Lease/Car Loans details</t>
  </si>
  <si>
    <t>Existing Credit Card</t>
  </si>
  <si>
    <t>Total credit card limits for all applicants.</t>
  </si>
  <si>
    <t>After pay / PayPal / BuyNowPayLater</t>
  </si>
  <si>
    <t>Current limit of the facilities</t>
  </si>
  <si>
    <t>New Credit Card or Overdraft Limit</t>
  </si>
  <si>
    <t>Monthly rent or board expenses. 
A minimum value required per adult when living with family rent free.</t>
  </si>
  <si>
    <t xml:space="preserve">HELP / HECS </t>
  </si>
  <si>
    <t>Based on HECS / HELP Tables, balance multiplies by % in line with Income Threshold. For further information regarding of % of HECS / HELP, please refer to a HECS/HELP link below.</t>
  </si>
  <si>
    <t>HECS / HELP Tables</t>
  </si>
  <si>
    <t>Rent / Board Commitments details</t>
  </si>
  <si>
    <t>Other Debts details</t>
  </si>
  <si>
    <t>Monthly Living Expenses</t>
  </si>
  <si>
    <t>Declared General Expenses ($)</t>
  </si>
  <si>
    <t>Include Clothing and personal care, Groceries, Medical and health, Pet care, Recreation and entertainment, Telephone, internet, pay tv and media streaming subscriptions, Transport, Primary Residence Costs (Including Insurance), Childcare, Higher Education &amp; Vocational Training (Excluding HECS/HELP), Public or Government Primary &amp; Secondary Education Costs, General Insurance (Excluding Life, Health, Sickness and Personal Accident)</t>
  </si>
  <si>
    <t>Declared Other Expenses ($)</t>
  </si>
  <si>
    <t>Include Body corporate fees, strata fees and land tax on owner occupied principal place of residence, Investment property costs (including insurance), Secondary residence running costs, Private &amp; Non-Government Education, Child and spousal maintenance, Other Insurances, Personal Insurance (Life, Health, Sickness and Personal Accident)  and any other monthly expenses not included elsewhere.</t>
  </si>
  <si>
    <t>Calculated HEM Expenses ($)</t>
  </si>
  <si>
    <t>Living expenses calculated by applying pre-determined amounts to the number of couples, singles and dependants.</t>
  </si>
  <si>
    <t>Calculated Living Expenses ($)</t>
  </si>
  <si>
    <t>This is the maximum of Basic living expense and living expenses calculated by applying pre-determined amounts to the number of couples, singles and dependants associated with the loan application plus the Ongoing living expense.</t>
  </si>
  <si>
    <t>NDI (Net Disposal Income)</t>
  </si>
  <si>
    <t>Result is calculated by taking the customers net surplus income minus the total living expenses</t>
  </si>
  <si>
    <t>Result is calculated as the ratio between the net disposal income and total existing/new commitments. The NDI ratio should be greater than 1.00 to be passed.</t>
  </si>
  <si>
    <t>Result is calculated by subtracting the net disposal income from total existing/new commitments and dividing by 12. The net monthly surplus should be greater than $40.00 to be passed.</t>
  </si>
  <si>
    <t>DTI (Debt To Income)</t>
  </si>
  <si>
    <t>Result is calculated by dividing a total of existing/new liabilities to a total of income. The DTI should be less than 7 to be passed.</t>
  </si>
  <si>
    <t>Applicant details</t>
  </si>
  <si>
    <t>Status</t>
  </si>
  <si>
    <t>Couple with</t>
  </si>
  <si>
    <t>Date Today</t>
  </si>
  <si>
    <t>Single</t>
  </si>
  <si>
    <t>N/A</t>
  </si>
  <si>
    <t>Date End of Month</t>
  </si>
  <si>
    <t>Couple</t>
  </si>
  <si>
    <t>Maturity Date</t>
  </si>
  <si>
    <t>HEM Table</t>
  </si>
  <si>
    <t>Permanent Term</t>
  </si>
  <si>
    <t>Short Term</t>
  </si>
  <si>
    <t>Serviced Apartment/Airbnb</t>
  </si>
  <si>
    <t>or less</t>
  </si>
  <si>
    <t>to</t>
  </si>
  <si>
    <t>Number</t>
  </si>
  <si>
    <t>Please select if more than 1</t>
  </si>
  <si>
    <t>Income Tax Rates - 2024-2025</t>
  </si>
  <si>
    <t>Taxable  Income</t>
  </si>
  <si>
    <t>Tax</t>
  </si>
  <si>
    <t>Marginal Rate</t>
  </si>
  <si>
    <t>Income class</t>
  </si>
  <si>
    <t>Min</t>
  </si>
  <si>
    <t>Max</t>
  </si>
  <si>
    <t>Dependent</t>
  </si>
  <si>
    <t>Administration - Version &amp; Change Control v1.0</t>
  </si>
  <si>
    <t>Date updated</t>
  </si>
  <si>
    <t>Worksheet</t>
  </si>
  <si>
    <t>New Version</t>
  </si>
  <si>
    <t>Changes</t>
  </si>
  <si>
    <t>Updated by</t>
  </si>
  <si>
    <t>YTD Income Calculator</t>
  </si>
  <si>
    <t>v1.1</t>
  </si>
  <si>
    <t>Corrected a formula of 'Average per Week' to capture Adjusted YTD Income instead of YTD Income (from payslip)</t>
  </si>
  <si>
    <t>Sophie</t>
  </si>
  <si>
    <t>Loan Serviceability Calculator</t>
  </si>
  <si>
    <t>v1.2</t>
  </si>
  <si>
    <t>Updated DTI validation formulas from 6 to 7 in line with DTI change in NextGen.</t>
  </si>
  <si>
    <t>Added a formula validation to the Household Type and Number of dependents when leaving it blank.</t>
  </si>
  <si>
    <t>Updated Start Date from 1/7/2024 to 1/7/2025 due to the new FY.</t>
  </si>
  <si>
    <r>
      <t xml:space="preserve">Home Loan Serviceability Calculator </t>
    </r>
    <r>
      <rPr>
        <sz val="10"/>
        <color theme="0"/>
        <rFont val="Arial Black"/>
        <family val="2"/>
      </rPr>
      <t>v.1.3</t>
    </r>
  </si>
  <si>
    <t>HEM update Q2 - Effective 20/11/2025</t>
  </si>
  <si>
    <t>v1.3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</si>
</sst>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_);[Red]\(&quot;$&quot;#,##0.00\)"/>
    <numFmt numFmtId="165" formatCode="&quot;$&quot;#,##0.00"/>
    <numFmt numFmtId="166" formatCode="&quot;$&quot;#,##0"/>
    <numFmt numFmtId="167" formatCode="0.000"/>
  </numFmts>
  <fonts count="36">
    <font>
      <sz val="11"/>
      <color theme="1"/>
      <name val="Calibri"/>
      <family val="2"/>
      <scheme val="minor"/>
    </font>
    <font>
      <sz val="11"/>
      <color theme="1"/>
      <name val="Avenir LT 55 Roman"/>
      <family val="2"/>
    </font>
    <font>
      <sz val="8"/>
      <name val="Calibri"/>
      <family val="2"/>
      <scheme val="minor"/>
    </font>
    <font>
      <sz val="11"/>
      <color theme="1"/>
      <name val="Arial"/>
      <family val="2"/>
    </font>
    <font>
      <b/>
      <sz val="11"/>
      <color theme="0"/>
      <name val="Arial"/>
      <family val="2"/>
    </font>
    <font>
      <sz val="11"/>
      <name val="Arial"/>
      <family val="2"/>
    </font>
    <font>
      <b/>
      <sz val="11"/>
      <color theme="1"/>
      <name val="Arial"/>
      <family val="2"/>
    </font>
    <font>
      <i/>
      <sz val="11"/>
      <color theme="5" tint="-0.249977111117893"/>
      <name val="Arial"/>
      <family val="2"/>
    </font>
    <font>
      <i/>
      <sz val="11"/>
      <color theme="1"/>
      <name val="Arial"/>
      <family val="2"/>
    </font>
    <font>
      <sz val="10"/>
      <name val="Helv"/>
    </font>
    <font>
      <b/>
      <sz val="14"/>
      <color theme="0"/>
      <name val="Arial"/>
      <family val="2"/>
    </font>
    <font>
      <b/>
      <sz val="26"/>
      <color theme="0"/>
      <name val="Arial Black"/>
      <family val="2"/>
    </font>
    <font>
      <sz val="11"/>
      <color theme="0"/>
      <name val="Arial"/>
      <family val="2"/>
    </font>
    <font>
      <u/>
      <sz val="11"/>
      <color theme="10"/>
      <name val="Calibri"/>
      <family val="2"/>
      <scheme val="minor"/>
    </font>
    <font>
      <i/>
      <u/>
      <sz val="11"/>
      <color theme="10"/>
      <name val="Calibri"/>
      <family val="2"/>
      <scheme val="minor"/>
    </font>
    <font>
      <b/>
      <i/>
      <sz val="11"/>
      <color theme="0"/>
      <name val="Arial"/>
      <family val="2"/>
    </font>
    <font>
      <i/>
      <sz val="11"/>
      <color theme="0"/>
      <name val="Arial"/>
      <family val="2"/>
    </font>
    <font>
      <b/>
      <i/>
      <sz val="11"/>
      <color theme="1"/>
      <name val="Arial"/>
      <family val="2"/>
    </font>
    <font>
      <b/>
      <sz val="18"/>
      <color theme="0"/>
      <name val="Arial Black"/>
      <family val="2"/>
    </font>
    <font>
      <sz val="10"/>
      <color theme="1"/>
      <name val="Arial"/>
      <family val="2"/>
    </font>
    <font>
      <b/>
      <sz val="10"/>
      <color theme="0"/>
      <name val="Arial"/>
      <family val="2"/>
    </font>
    <font>
      <b/>
      <sz val="10"/>
      <color theme="1"/>
      <name val="Arial"/>
      <family val="2"/>
    </font>
    <font>
      <i/>
      <sz val="10"/>
      <color theme="1"/>
      <name val="Arial"/>
      <family val="2"/>
    </font>
    <font>
      <b/>
      <sz val="14"/>
      <color theme="0"/>
      <name val="Arial Black"/>
      <family val="2"/>
    </font>
    <font>
      <b/>
      <i/>
      <sz val="11"/>
      <name val="Arial"/>
      <family val="2"/>
    </font>
    <font>
      <sz val="11"/>
      <color theme="0"/>
      <name val="Wingdings 3"/>
      <family val="1"/>
      <charset val="2"/>
    </font>
    <font>
      <b/>
      <sz val="10"/>
      <color theme="0"/>
      <name val="Arial Black"/>
      <family val="2"/>
    </font>
    <font>
      <sz val="11"/>
      <color theme="1"/>
      <name val="Calibri"/>
      <family val="2"/>
      <scheme val="minor"/>
    </font>
    <font>
      <b/>
      <sz val="11"/>
      <name val="Arial"/>
      <family val="2"/>
    </font>
    <font>
      <b/>
      <sz val="11"/>
      <color rgb="FFE6591A"/>
      <name val="Arial"/>
      <family val="2"/>
    </font>
    <font>
      <sz val="18"/>
      <color theme="0"/>
      <name val="Arial Black"/>
      <family val="2"/>
    </font>
    <font>
      <b/>
      <sz val="11"/>
      <name val="Times New Roman"/>
      <family val="1"/>
    </font>
    <font>
      <b/>
      <sz val="11"/>
      <color theme="5"/>
      <name val="Arial"/>
      <family val="2"/>
    </font>
    <font>
      <sz val="11"/>
      <color rgb="FFFF0000"/>
      <name val="Arial"/>
      <family val="2"/>
    </font>
    <font>
      <sz val="11"/>
      <color rgb="FFFF0000"/>
      <name val="Calibri"/>
      <family val="2"/>
      <scheme val="minor"/>
    </font>
    <font>
      <sz val="10"/>
      <color theme="0"/>
      <name val="Arial Black"/>
      <family val="2"/>
    </font>
  </fonts>
  <fills count="12">
    <fill>
      <patternFill patternType="none"/>
    </fill>
    <fill>
      <patternFill patternType="gray125"/>
    </fill>
    <fill>
      <patternFill patternType="solid">
        <fgColor rgb="FF1F14AC"/>
        <bgColor indexed="64"/>
      </patternFill>
    </fill>
    <fill>
      <patternFill patternType="solid">
        <fgColor rgb="FFEF8231"/>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indexed="9"/>
        <bgColor indexed="64"/>
      </patternFill>
    </fill>
    <fill>
      <patternFill patternType="solid">
        <fgColor rgb="FF000099"/>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5" tint="0.79998168889431442"/>
        <bgColor indexed="64"/>
      </patternFill>
    </fill>
  </fills>
  <borders count="3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style="thin">
        <color theme="5" tint="0.59999389629810485"/>
      </left>
      <right/>
      <top style="thin">
        <color theme="5" tint="0.59999389629810485"/>
      </top>
      <bottom style="thin">
        <color theme="5" tint="0.59999389629810485"/>
      </bottom>
      <diagonal/>
    </border>
    <border>
      <left/>
      <right/>
      <top style="thin">
        <color theme="5" tint="0.59999389629810485"/>
      </top>
      <bottom style="thin">
        <color theme="5" tint="0.59999389629810485"/>
      </bottom>
      <diagonal/>
    </border>
    <border>
      <left/>
      <right style="thin">
        <color theme="5" tint="0.59999389629810485"/>
      </right>
      <top style="thin">
        <color theme="5" tint="0.59999389629810485"/>
      </top>
      <bottom style="thin">
        <color theme="5" tint="0.59999389629810485"/>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diagonal/>
    </border>
    <border>
      <left/>
      <right style="thin">
        <color rgb="FF000099"/>
      </right>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double">
        <color theme="0"/>
      </top>
      <bottom/>
      <diagonal/>
    </border>
    <border>
      <left/>
      <right style="double">
        <color theme="0"/>
      </right>
      <top/>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
      <left style="thin">
        <color rgb="FF000099"/>
      </left>
      <right/>
      <top/>
      <bottom style="thin">
        <color indexed="64"/>
      </bottom>
      <diagonal/>
    </border>
    <border>
      <left/>
      <right style="thin">
        <color rgb="FF000099"/>
      </right>
      <top/>
      <bottom style="thin">
        <color indexed="64"/>
      </bottom>
      <diagonal/>
    </border>
    <border>
      <left/>
      <right/>
      <top/>
      <bottom style="thin">
        <color theme="5" tint="0.59999389629810485"/>
      </bottom>
      <diagonal/>
    </border>
  </borders>
  <cellStyleXfs count="8">
    <xf numFmtId="0" fontId="0"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 fillId="0" borderId="0"/>
    <xf numFmtId="164" fontId="9" fillId="0" borderId="0" applyFont="0" applyFill="0" applyBorder="0" applyAlignment="0" applyProtection="0"/>
    <xf numFmtId="0" fontId="13" fillId="0" borderId="0" applyNumberFormat="0" applyFill="0" applyBorder="0" applyAlignment="0" applyProtection="0"/>
    <xf numFmtId="44" fontId="27" fillId="0" borderId="0" applyFont="0" applyFill="0" applyBorder="0" applyAlignment="0" applyProtection="0"/>
  </cellStyleXfs>
  <cellXfs count="228">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5" borderId="0" xfId="0" applyFill="1"/>
    <xf numFmtId="14" fontId="0" fillId="0" borderId="3" xfId="0" applyNumberFormat="1" applyBorder="1"/>
    <xf numFmtId="14" fontId="0" fillId="0" borderId="5" xfId="0" applyNumberFormat="1" applyBorder="1"/>
    <xf numFmtId="14" fontId="0" fillId="0" borderId="8" xfId="0" applyNumberFormat="1" applyBorder="1"/>
    <xf numFmtId="0" fontId="0" fillId="0" borderId="22" xfId="0" applyBorder="1"/>
    <xf numFmtId="0" fontId="0" fillId="0" borderId="23" xfId="0" applyBorder="1"/>
    <xf numFmtId="165" fontId="3" fillId="0" borderId="9" xfId="0" applyNumberFormat="1" applyFont="1" applyBorder="1" applyProtection="1">
      <protection locked="0"/>
    </xf>
    <xf numFmtId="1" fontId="3" fillId="0" borderId="9" xfId="0" applyNumberFormat="1" applyFont="1" applyBorder="1" applyProtection="1">
      <protection locked="0"/>
    </xf>
    <xf numFmtId="10" fontId="3" fillId="0" borderId="9" xfId="0" applyNumberFormat="1" applyFont="1" applyBorder="1" applyProtection="1">
      <protection locked="0"/>
    </xf>
    <xf numFmtId="0" fontId="3" fillId="0" borderId="9" xfId="0" applyFont="1" applyBorder="1" applyAlignment="1" applyProtection="1">
      <alignment horizontal="center" vertical="center"/>
      <protection locked="0"/>
    </xf>
    <xf numFmtId="165" fontId="5" fillId="0" borderId="9" xfId="0" applyNumberFormat="1" applyFont="1" applyBorder="1" applyProtection="1">
      <protection locked="0"/>
    </xf>
    <xf numFmtId="9" fontId="3" fillId="0" borderId="9" xfId="0" applyNumberFormat="1" applyFont="1" applyBorder="1" applyProtection="1">
      <protection locked="0"/>
    </xf>
    <xf numFmtId="0" fontId="0" fillId="0" borderId="21" xfId="0" applyBorder="1"/>
    <xf numFmtId="165" fontId="0" fillId="0" borderId="0" xfId="0" applyNumberFormat="1"/>
    <xf numFmtId="0" fontId="3" fillId="0" borderId="0" xfId="0" applyFont="1"/>
    <xf numFmtId="0" fontId="3" fillId="0" borderId="17" xfId="0" applyFont="1" applyBorder="1"/>
    <xf numFmtId="165" fontId="3" fillId="0" borderId="0" xfId="0" applyNumberFormat="1" applyFont="1"/>
    <xf numFmtId="165" fontId="3" fillId="4" borderId="0" xfId="0" applyNumberFormat="1" applyFont="1" applyFill="1"/>
    <xf numFmtId="0" fontId="4" fillId="0" borderId="0" xfId="0" applyFont="1"/>
    <xf numFmtId="0" fontId="3" fillId="0" borderId="0" xfId="0" applyFont="1" applyAlignment="1">
      <alignment wrapText="1"/>
    </xf>
    <xf numFmtId="0" fontId="4" fillId="2" borderId="5" xfId="1" applyFont="1" applyFill="1" applyBorder="1" applyAlignment="1" applyProtection="1">
      <alignment vertical="center" wrapText="1"/>
      <protection hidden="1"/>
    </xf>
    <xf numFmtId="0" fontId="10" fillId="0" borderId="5" xfId="0" applyFont="1" applyBorder="1" applyAlignment="1">
      <alignment horizontal="left" wrapText="1"/>
    </xf>
    <xf numFmtId="0" fontId="3" fillId="6" borderId="24" xfId="0" applyFont="1" applyFill="1" applyBorder="1" applyAlignment="1">
      <alignment vertical="top" wrapText="1"/>
    </xf>
    <xf numFmtId="0" fontId="3" fillId="0" borderId="24" xfId="0" applyFont="1" applyBorder="1" applyAlignment="1">
      <alignment vertical="top" wrapText="1"/>
    </xf>
    <xf numFmtId="0" fontId="3" fillId="0" borderId="4" xfId="0" applyFont="1" applyBorder="1" applyAlignment="1">
      <alignment vertical="top" wrapText="1"/>
    </xf>
    <xf numFmtId="0" fontId="5" fillId="0" borderId="24" xfId="0" applyFont="1" applyBorder="1" applyAlignment="1">
      <alignment wrapText="1"/>
    </xf>
    <xf numFmtId="0" fontId="5" fillId="6" borderId="24" xfId="0" applyFont="1" applyFill="1" applyBorder="1" applyAlignment="1">
      <alignment vertical="top" wrapText="1"/>
    </xf>
    <xf numFmtId="0" fontId="5" fillId="0" borderId="24" xfId="0" applyFont="1" applyBorder="1" applyAlignment="1">
      <alignment vertical="top" wrapText="1"/>
    </xf>
    <xf numFmtId="0" fontId="4" fillId="3" borderId="5" xfId="0" applyFont="1" applyFill="1" applyBorder="1" applyAlignment="1">
      <alignment wrapText="1"/>
    </xf>
    <xf numFmtId="0" fontId="5" fillId="0" borderId="24" xfId="0" applyFont="1" applyBorder="1"/>
    <xf numFmtId="0" fontId="3" fillId="0" borderId="24" xfId="0" applyFont="1" applyBorder="1" applyAlignment="1">
      <alignment wrapText="1"/>
    </xf>
    <xf numFmtId="0" fontId="3" fillId="6" borderId="21" xfId="0" applyFont="1" applyFill="1" applyBorder="1" applyAlignment="1">
      <alignment vertical="top" wrapText="1"/>
    </xf>
    <xf numFmtId="0" fontId="3" fillId="6" borderId="3" xfId="0" applyFont="1" applyFill="1" applyBorder="1" applyAlignment="1">
      <alignment vertical="top" wrapText="1"/>
    </xf>
    <xf numFmtId="0" fontId="14" fillId="0" borderId="8" xfId="6" applyFont="1" applyBorder="1" applyAlignment="1" applyProtection="1">
      <alignment wrapText="1"/>
    </xf>
    <xf numFmtId="0" fontId="14" fillId="0" borderId="0" xfId="6" applyFont="1" applyProtection="1"/>
    <xf numFmtId="0" fontId="3" fillId="6" borderId="22" xfId="0" applyFont="1" applyFill="1" applyBorder="1" applyAlignment="1">
      <alignment vertical="top" wrapText="1"/>
    </xf>
    <xf numFmtId="0" fontId="6" fillId="0" borderId="24" xfId="0" applyFont="1" applyBorder="1" applyAlignment="1">
      <alignment vertical="top" wrapText="1"/>
    </xf>
    <xf numFmtId="0" fontId="0" fillId="0" borderId="0" xfId="0" applyAlignment="1">
      <alignment wrapText="1"/>
    </xf>
    <xf numFmtId="0" fontId="3" fillId="0" borderId="24" xfId="0" applyFont="1" applyBorder="1" applyAlignment="1">
      <alignment horizontal="center" vertical="top"/>
    </xf>
    <xf numFmtId="14" fontId="3" fillId="0" borderId="24" xfId="0" applyNumberFormat="1" applyFont="1" applyBorder="1" applyAlignment="1">
      <alignment horizontal="center" vertical="top"/>
    </xf>
    <xf numFmtId="0" fontId="4" fillId="7" borderId="24" xfId="0" applyFont="1" applyFill="1" applyBorder="1" applyAlignment="1">
      <alignment horizontal="center" vertical="top"/>
    </xf>
    <xf numFmtId="3" fontId="0" fillId="0" borderId="0" xfId="0" applyNumberFormat="1"/>
    <xf numFmtId="0" fontId="4" fillId="7" borderId="24" xfId="0" applyFont="1" applyFill="1" applyBorder="1" applyAlignment="1">
      <alignment horizontal="center" vertical="top" wrapText="1"/>
    </xf>
    <xf numFmtId="167" fontId="0" fillId="0" borderId="5" xfId="0" applyNumberFormat="1" applyBorder="1"/>
    <xf numFmtId="167" fontId="0" fillId="0" borderId="8" xfId="0" applyNumberFormat="1" applyBorder="1"/>
    <xf numFmtId="0" fontId="3" fillId="0" borderId="24" xfId="0" applyFont="1" applyBorder="1" applyAlignment="1">
      <alignment horizontal="left" vertical="top" wrapText="1"/>
    </xf>
    <xf numFmtId="0" fontId="10" fillId="0" borderId="4" xfId="0" applyFont="1" applyBorder="1" applyAlignment="1">
      <alignment horizontal="left" vertical="top" wrapText="1"/>
    </xf>
    <xf numFmtId="0" fontId="4" fillId="2" borderId="4" xfId="1" applyFont="1" applyFill="1" applyBorder="1" applyAlignment="1" applyProtection="1">
      <alignment vertical="top"/>
      <protection hidden="1"/>
    </xf>
    <xf numFmtId="0" fontId="5" fillId="0" borderId="4" xfId="0" applyFont="1" applyBorder="1" applyAlignment="1">
      <alignment vertical="top"/>
    </xf>
    <xf numFmtId="0" fontId="4" fillId="3" borderId="4" xfId="0" applyFont="1" applyFill="1" applyBorder="1" applyAlignment="1">
      <alignment vertical="top"/>
    </xf>
    <xf numFmtId="0" fontId="5" fillId="0" borderId="24" xfId="0" applyFont="1" applyBorder="1" applyAlignment="1">
      <alignment vertical="top"/>
    </xf>
    <xf numFmtId="0" fontId="3" fillId="0" borderId="0" xfId="0" applyFont="1" applyAlignment="1">
      <alignment vertical="top"/>
    </xf>
    <xf numFmtId="0" fontId="0" fillId="0" borderId="0" xfId="0" applyAlignment="1">
      <alignment vertical="top"/>
    </xf>
    <xf numFmtId="0" fontId="3" fillId="0" borderId="9" xfId="0" applyFont="1" applyBorder="1" applyAlignment="1" applyProtection="1">
      <alignment horizontal="center" vertical="center" wrapText="1"/>
      <protection locked="0"/>
    </xf>
    <xf numFmtId="165" fontId="5" fillId="0" borderId="27" xfId="0" applyNumberFormat="1" applyFont="1" applyBorder="1" applyProtection="1">
      <protection locked="0"/>
    </xf>
    <xf numFmtId="10" fontId="5" fillId="0" borderId="27" xfId="0" applyNumberFormat="1" applyFont="1" applyBorder="1" applyProtection="1">
      <protection locked="0"/>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11" fillId="0" borderId="0" xfId="1" applyFont="1" applyAlignment="1">
      <alignment horizontal="center" vertical="center"/>
    </xf>
    <xf numFmtId="0" fontId="19" fillId="0" borderId="0" xfId="0" applyFont="1" applyAlignment="1">
      <alignment horizontal="left" wrapText="1"/>
    </xf>
    <xf numFmtId="0" fontId="4" fillId="0" borderId="17" xfId="0" applyFont="1" applyBorder="1"/>
    <xf numFmtId="0" fontId="20" fillId="0" borderId="0" xfId="0" applyFont="1" applyAlignment="1">
      <alignment horizontal="left" wrapText="1"/>
    </xf>
    <xf numFmtId="1" fontId="3" fillId="4" borderId="0" xfId="0" applyNumberFormat="1" applyFont="1" applyFill="1"/>
    <xf numFmtId="0" fontId="0" fillId="0" borderId="18" xfId="0" applyBorder="1"/>
    <xf numFmtId="0" fontId="0" fillId="0" borderId="19" xfId="0" applyBorder="1"/>
    <xf numFmtId="0" fontId="0" fillId="0" borderId="20" xfId="0" applyBorder="1"/>
    <xf numFmtId="0" fontId="0" fillId="0" borderId="28" xfId="0" applyBorder="1"/>
    <xf numFmtId="0" fontId="19" fillId="0" borderId="7" xfId="0" applyFont="1" applyBorder="1" applyAlignment="1">
      <alignment horizontal="left" wrapText="1"/>
    </xf>
    <xf numFmtId="165" fontId="3" fillId="0" borderId="7" xfId="0" applyNumberFormat="1" applyFont="1" applyBorder="1"/>
    <xf numFmtId="0" fontId="3" fillId="0" borderId="29" xfId="0" applyFont="1" applyBorder="1"/>
    <xf numFmtId="166" fontId="31" fillId="8" borderId="1" xfId="0" applyNumberFormat="1" applyFont="1" applyFill="1" applyBorder="1" applyAlignment="1">
      <alignment horizontal="left"/>
    </xf>
    <xf numFmtId="166" fontId="31" fillId="8" borderId="2" xfId="0" applyNumberFormat="1" applyFont="1" applyFill="1" applyBorder="1" applyAlignment="1">
      <alignment horizontal="left"/>
    </xf>
    <xf numFmtId="166" fontId="31" fillId="8" borderId="3" xfId="0" applyNumberFormat="1" applyFont="1" applyFill="1" applyBorder="1" applyAlignment="1">
      <alignment horizontal="left"/>
    </xf>
    <xf numFmtId="166" fontId="31" fillId="8" borderId="4" xfId="0" applyNumberFormat="1" applyFont="1" applyFill="1" applyBorder="1" applyAlignment="1">
      <alignment horizontal="left"/>
    </xf>
    <xf numFmtId="166" fontId="31" fillId="8" borderId="0" xfId="0" applyNumberFormat="1" applyFont="1" applyFill="1" applyAlignment="1">
      <alignment horizontal="left"/>
    </xf>
    <xf numFmtId="166" fontId="31" fillId="8" borderId="5" xfId="0" applyNumberFormat="1" applyFont="1" applyFill="1" applyBorder="1" applyAlignment="1">
      <alignment horizontal="left"/>
    </xf>
    <xf numFmtId="166" fontId="0" fillId="0" borderId="2" xfId="7" applyNumberFormat="1" applyFont="1" applyBorder="1" applyAlignment="1">
      <alignment horizontal="left" vertical="top"/>
    </xf>
    <xf numFmtId="166" fontId="0" fillId="9" borderId="3" xfId="0" applyNumberFormat="1" applyFill="1" applyBorder="1"/>
    <xf numFmtId="166" fontId="0" fillId="0" borderId="0" xfId="7" applyNumberFormat="1" applyFont="1" applyBorder="1" applyAlignment="1">
      <alignment horizontal="left" vertical="top"/>
    </xf>
    <xf numFmtId="166" fontId="0" fillId="9" borderId="5" xfId="0" applyNumberFormat="1" applyFill="1" applyBorder="1"/>
    <xf numFmtId="166" fontId="0" fillId="0" borderId="7" xfId="7" applyNumberFormat="1" applyFont="1" applyBorder="1" applyAlignment="1">
      <alignment horizontal="left" vertical="top"/>
    </xf>
    <xf numFmtId="166" fontId="0" fillId="9" borderId="8" xfId="0" applyNumberFormat="1" applyFill="1" applyBorder="1"/>
    <xf numFmtId="166" fontId="0" fillId="9" borderId="0" xfId="0" applyNumberFormat="1" applyFill="1"/>
    <xf numFmtId="166" fontId="0" fillId="0" borderId="1" xfId="7" applyNumberFormat="1" applyFont="1" applyBorder="1" applyAlignment="1">
      <alignment horizontal="left" vertical="top"/>
    </xf>
    <xf numFmtId="0" fontId="0" fillId="10" borderId="1" xfId="0" applyFill="1" applyBorder="1"/>
    <xf numFmtId="166" fontId="31" fillId="10" borderId="2" xfId="0" applyNumberFormat="1" applyFont="1" applyFill="1" applyBorder="1" applyAlignment="1">
      <alignment horizontal="left"/>
    </xf>
    <xf numFmtId="166" fontId="31" fillId="9" borderId="3" xfId="0" applyNumberFormat="1" applyFont="1" applyFill="1" applyBorder="1" applyAlignment="1">
      <alignment horizontal="left"/>
    </xf>
    <xf numFmtId="0" fontId="0" fillId="4" borderId="4" xfId="0" applyFill="1" applyBorder="1"/>
    <xf numFmtId="165" fontId="31" fillId="4" borderId="0" xfId="0" applyNumberFormat="1" applyFont="1" applyFill="1" applyAlignment="1">
      <alignment horizontal="left"/>
    </xf>
    <xf numFmtId="165" fontId="31" fillId="9" borderId="5" xfId="0" applyNumberFormat="1" applyFont="1" applyFill="1" applyBorder="1" applyAlignment="1">
      <alignment horizontal="left"/>
    </xf>
    <xf numFmtId="0" fontId="0" fillId="4" borderId="6" xfId="0" applyFill="1" applyBorder="1"/>
    <xf numFmtId="165" fontId="31" fillId="4" borderId="7" xfId="0" applyNumberFormat="1" applyFont="1" applyFill="1" applyBorder="1" applyAlignment="1">
      <alignment horizontal="left"/>
    </xf>
    <xf numFmtId="165" fontId="31" fillId="9" borderId="8" xfId="0" applyNumberFormat="1" applyFont="1" applyFill="1" applyBorder="1" applyAlignment="1">
      <alignment horizontal="left"/>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166" fontId="0" fillId="11" borderId="0" xfId="7" applyNumberFormat="1" applyFont="1" applyFill="1" applyBorder="1" applyAlignment="1">
      <alignment horizontal="left" vertical="top"/>
    </xf>
    <xf numFmtId="0" fontId="0" fillId="11" borderId="0" xfId="0" applyFill="1"/>
    <xf numFmtId="44" fontId="3" fillId="0" borderId="9" xfId="0" applyNumberFormat="1" applyFont="1" applyBorder="1" applyProtection="1">
      <protection locked="0"/>
    </xf>
    <xf numFmtId="0" fontId="3" fillId="0" borderId="13" xfId="0" applyFont="1" applyBorder="1"/>
    <xf numFmtId="0" fontId="3" fillId="0" borderId="14" xfId="0" applyFont="1" applyBorder="1" applyAlignment="1">
      <alignment wrapText="1"/>
    </xf>
    <xf numFmtId="0" fontId="3" fillId="0" borderId="14" xfId="0" applyFont="1" applyBorder="1"/>
    <xf numFmtId="0" fontId="3" fillId="0" borderId="15" xfId="0" applyFont="1" applyBorder="1"/>
    <xf numFmtId="0" fontId="3" fillId="0" borderId="16" xfId="0" applyFont="1" applyBorder="1"/>
    <xf numFmtId="0" fontId="4" fillId="2" borderId="0" xfId="1" applyFont="1" applyFill="1" applyAlignment="1">
      <alignment vertical="center" wrapText="1"/>
    </xf>
    <xf numFmtId="0" fontId="4" fillId="2" borderId="0" xfId="1" applyFont="1" applyFill="1" applyAlignment="1">
      <alignment horizontal="center" vertical="center"/>
    </xf>
    <xf numFmtId="0" fontId="3" fillId="0" borderId="0" xfId="0" applyFont="1" applyAlignment="1">
      <alignment horizontal="center" vertical="center"/>
    </xf>
    <xf numFmtId="0" fontId="4" fillId="2" borderId="0" xfId="1" applyFont="1" applyFill="1" applyAlignment="1">
      <alignment horizontal="centerContinuous" vertical="center"/>
    </xf>
    <xf numFmtId="0" fontId="15" fillId="2" borderId="0" xfId="1" applyFont="1" applyFill="1" applyAlignment="1">
      <alignment horizontal="centerContinuous" vertical="center"/>
    </xf>
    <xf numFmtId="0" fontId="16" fillId="2" borderId="0" xfId="1" applyFont="1" applyFill="1" applyAlignment="1">
      <alignment horizontal="centerContinuous" vertical="center" wrapText="1"/>
    </xf>
    <xf numFmtId="0" fontId="25" fillId="0" borderId="0" xfId="0" applyFont="1"/>
    <xf numFmtId="0" fontId="4" fillId="0" borderId="0" xfId="1" applyFont="1" applyAlignment="1">
      <alignment vertical="center" wrapText="1"/>
    </xf>
    <xf numFmtId="0" fontId="4" fillId="0" borderId="0" xfId="1" applyFont="1" applyAlignment="1">
      <alignment horizontal="center" vertical="center"/>
    </xf>
    <xf numFmtId="0" fontId="4" fillId="0" borderId="0" xfId="1" applyFont="1" applyAlignment="1">
      <alignment horizontal="centerContinuous" vertical="center"/>
    </xf>
    <xf numFmtId="0" fontId="15" fillId="0" borderId="0" xfId="1" applyFont="1" applyAlignment="1">
      <alignment horizontal="centerContinuous" vertical="center"/>
    </xf>
    <xf numFmtId="0" fontId="16" fillId="0" borderId="0" xfId="1" applyFont="1" applyAlignment="1">
      <alignment horizontal="centerContinuous" vertical="center" wrapText="1"/>
    </xf>
    <xf numFmtId="0" fontId="7" fillId="0" borderId="0" xfId="0" applyFont="1" applyAlignment="1">
      <alignment horizontal="right" wrapText="1"/>
    </xf>
    <xf numFmtId="0" fontId="7" fillId="0" borderId="0" xfId="0" applyFont="1" applyAlignment="1">
      <alignment horizontal="right"/>
    </xf>
    <xf numFmtId="0" fontId="3" fillId="0" borderId="0" xfId="0" applyFont="1" applyAlignment="1">
      <alignment horizontal="center" vertical="center" wrapText="1"/>
    </xf>
    <xf numFmtId="44" fontId="3" fillId="4" borderId="9" xfId="7" applyFont="1" applyFill="1" applyBorder="1" applyProtection="1"/>
    <xf numFmtId="1" fontId="3" fillId="0" borderId="0" xfId="0" applyNumberFormat="1" applyFont="1"/>
    <xf numFmtId="10" fontId="3" fillId="0" borderId="0" xfId="0" applyNumberFormat="1" applyFont="1"/>
    <xf numFmtId="165" fontId="3" fillId="4" borderId="0" xfId="7" applyNumberFormat="1" applyFont="1" applyFill="1" applyProtection="1"/>
    <xf numFmtId="0" fontId="3" fillId="0" borderId="25" xfId="0" applyFont="1" applyBorder="1"/>
    <xf numFmtId="0" fontId="4" fillId="2" borderId="0" xfId="1" applyFont="1" applyFill="1" applyAlignment="1">
      <alignment vertical="center"/>
    </xf>
    <xf numFmtId="0" fontId="4" fillId="0" borderId="0" xfId="1" applyFont="1" applyAlignment="1">
      <alignment vertical="center"/>
    </xf>
    <xf numFmtId="44" fontId="3" fillId="4" borderId="0" xfId="7" applyFont="1" applyFill="1" applyProtection="1"/>
    <xf numFmtId="10" fontId="3" fillId="4" borderId="0" xfId="0" applyNumberFormat="1" applyFont="1" applyFill="1"/>
    <xf numFmtId="165" fontId="5" fillId="0" borderId="9" xfId="0" applyNumberFormat="1" applyFont="1" applyBorder="1"/>
    <xf numFmtId="165" fontId="12" fillId="0" borderId="0" xfId="0" applyNumberFormat="1" applyFont="1"/>
    <xf numFmtId="0" fontId="6" fillId="0" borderId="0" xfId="0" applyFont="1" applyAlignment="1">
      <alignment wrapText="1"/>
    </xf>
    <xf numFmtId="44" fontId="5" fillId="4" borderId="0" xfId="7" applyFont="1" applyFill="1" applyProtection="1"/>
    <xf numFmtId="44" fontId="3" fillId="0" borderId="0" xfId="7" applyFont="1" applyProtection="1"/>
    <xf numFmtId="0" fontId="28" fillId="0" borderId="0" xfId="0" applyFont="1" applyAlignment="1">
      <alignment wrapText="1"/>
    </xf>
    <xf numFmtId="44" fontId="5" fillId="0" borderId="0" xfId="7" applyFont="1" applyProtection="1"/>
    <xf numFmtId="0" fontId="4" fillId="3" borderId="0" xfId="0" applyFont="1" applyFill="1" applyAlignment="1">
      <alignment wrapText="1"/>
    </xf>
    <xf numFmtId="0" fontId="4" fillId="3" borderId="0" xfId="0" applyFont="1" applyFill="1"/>
    <xf numFmtId="0" fontId="4" fillId="3" borderId="0" xfId="0" applyFont="1" applyFill="1" applyAlignment="1">
      <alignment horizontal="centerContinuous" vertical="center"/>
    </xf>
    <xf numFmtId="0" fontId="15" fillId="3" borderId="0" xfId="0" applyFont="1" applyFill="1" applyAlignment="1">
      <alignment horizontal="centerContinuous" vertical="center" readingOrder="1"/>
    </xf>
    <xf numFmtId="0" fontId="4" fillId="3" borderId="0" xfId="0" applyFont="1" applyFill="1" applyAlignment="1">
      <alignment horizontal="centerContinuous" vertical="center" readingOrder="1"/>
    </xf>
    <xf numFmtId="0" fontId="15" fillId="3" borderId="0" xfId="0" applyFont="1" applyFill="1" applyAlignment="1">
      <alignment horizontal="center" vertical="center" readingOrder="1"/>
    </xf>
    <xf numFmtId="44" fontId="3" fillId="0" borderId="0" xfId="0" applyNumberFormat="1" applyFont="1"/>
    <xf numFmtId="0" fontId="4" fillId="0" borderId="0" xfId="0" applyFont="1" applyAlignment="1">
      <alignment wrapText="1"/>
    </xf>
    <xf numFmtId="0" fontId="4" fillId="0" borderId="0" xfId="0" applyFont="1" applyAlignment="1">
      <alignment horizontal="centerContinuous" vertical="center"/>
    </xf>
    <xf numFmtId="0" fontId="15" fillId="0" borderId="0" xfId="0" applyFont="1" applyAlignment="1">
      <alignment horizontal="centerContinuous" vertical="center" readingOrder="1"/>
    </xf>
    <xf numFmtId="0" fontId="4" fillId="0" borderId="0" xfId="0" applyFont="1" applyAlignment="1">
      <alignment horizontal="centerContinuous" vertical="center" readingOrder="1"/>
    </xf>
    <xf numFmtId="0" fontId="15" fillId="0" borderId="0" xfId="0" applyFont="1" applyAlignment="1">
      <alignment horizontal="center" vertical="center" readingOrder="1"/>
    </xf>
    <xf numFmtId="0" fontId="5" fillId="0" borderId="0" xfId="0" applyFont="1"/>
    <xf numFmtId="0" fontId="5" fillId="0" borderId="0" xfId="0" applyFont="1" applyAlignment="1">
      <alignment horizontal="center" vertical="center"/>
    </xf>
    <xf numFmtId="0" fontId="3" fillId="0" borderId="0" xfId="0" applyFont="1" applyAlignment="1">
      <alignment horizontal="center"/>
    </xf>
    <xf numFmtId="0" fontId="12" fillId="0" borderId="0" xfId="0" applyFont="1"/>
    <xf numFmtId="9" fontId="3" fillId="0" borderId="0" xfId="0" applyNumberFormat="1" applyFont="1"/>
    <xf numFmtId="9" fontId="29" fillId="0" borderId="0" xfId="0" applyNumberFormat="1" applyFont="1"/>
    <xf numFmtId="9" fontId="12" fillId="0" borderId="0" xfId="0" applyNumberFormat="1" applyFont="1"/>
    <xf numFmtId="165" fontId="3" fillId="4" borderId="9" xfId="0" applyNumberFormat="1" applyFont="1" applyFill="1" applyBorder="1"/>
    <xf numFmtId="0" fontId="16" fillId="2" borderId="0" xfId="1" applyFont="1" applyFill="1" applyAlignment="1">
      <alignment horizontal="centerContinuous" vertical="center"/>
    </xf>
    <xf numFmtId="0" fontId="3" fillId="0" borderId="17" xfId="0" applyFont="1" applyBorder="1" applyAlignment="1">
      <alignment horizontal="centerContinuous" vertical="center"/>
    </xf>
    <xf numFmtId="0" fontId="16" fillId="0" borderId="0" xfId="1" applyFont="1" applyAlignment="1">
      <alignment horizontal="centerContinuous" vertical="center"/>
    </xf>
    <xf numFmtId="0" fontId="3" fillId="0" borderId="0" xfId="0" applyFont="1" applyAlignment="1">
      <alignment vertical="center" wrapText="1"/>
    </xf>
    <xf numFmtId="0" fontId="3" fillId="0" borderId="0" xfId="0" applyFont="1" applyAlignment="1">
      <alignment vertical="center"/>
    </xf>
    <xf numFmtId="0" fontId="3" fillId="0" borderId="16" xfId="0" applyFont="1" applyBorder="1" applyAlignment="1">
      <alignment wrapText="1"/>
    </xf>
    <xf numFmtId="0" fontId="12" fillId="0" borderId="0" xfId="0" applyFont="1" applyAlignment="1">
      <alignment vertical="center" wrapText="1"/>
    </xf>
    <xf numFmtId="0" fontId="12" fillId="0" borderId="0" xfId="0" applyFont="1" applyAlignment="1">
      <alignment wrapText="1"/>
    </xf>
    <xf numFmtId="0" fontId="3" fillId="0" borderId="17" xfId="0" applyFont="1" applyBorder="1" applyAlignment="1">
      <alignment wrapText="1"/>
    </xf>
    <xf numFmtId="0" fontId="12" fillId="0" borderId="0" xfId="0" applyFont="1" applyAlignment="1">
      <alignment vertical="center"/>
    </xf>
    <xf numFmtId="0" fontId="4" fillId="0" borderId="0" xfId="0" applyFont="1" applyAlignment="1">
      <alignment vertical="center"/>
    </xf>
    <xf numFmtId="165" fontId="32" fillId="0" borderId="0" xfId="0" applyNumberFormat="1" applyFont="1" applyAlignment="1">
      <alignment vertical="center"/>
    </xf>
    <xf numFmtId="0" fontId="6" fillId="0" borderId="0" xfId="0" applyFont="1" applyAlignment="1">
      <alignment vertical="center" wrapText="1"/>
    </xf>
    <xf numFmtId="2" fontId="3" fillId="4" borderId="0" xfId="0" applyNumberFormat="1" applyFont="1" applyFill="1" applyAlignment="1">
      <alignment horizontal="right"/>
    </xf>
    <xf numFmtId="0" fontId="24" fillId="0" borderId="0" xfId="0" applyFont="1" applyAlignment="1">
      <alignment horizontal="left" vertical="center"/>
    </xf>
    <xf numFmtId="0" fontId="3" fillId="0" borderId="0" xfId="0" applyFont="1" applyAlignment="1">
      <alignment horizontal="right"/>
    </xf>
    <xf numFmtId="1" fontId="3" fillId="0" borderId="0" xfId="0" applyNumberFormat="1" applyFont="1" applyAlignment="1">
      <alignment horizontal="right"/>
    </xf>
    <xf numFmtId="0" fontId="17" fillId="0" borderId="0" xfId="0" applyFont="1" applyAlignment="1">
      <alignment horizontal="center" vertical="center" wrapText="1"/>
    </xf>
    <xf numFmtId="0" fontId="3" fillId="0" borderId="18" xfId="0" applyFont="1" applyBorder="1"/>
    <xf numFmtId="0" fontId="3" fillId="0" borderId="19" xfId="0" applyFont="1" applyBorder="1" applyAlignment="1">
      <alignment wrapText="1"/>
    </xf>
    <xf numFmtId="0" fontId="3" fillId="0" borderId="19" xfId="0" applyFont="1" applyBorder="1"/>
    <xf numFmtId="0" fontId="3" fillId="0" borderId="20" xfId="0" applyFont="1" applyBorder="1"/>
    <xf numFmtId="14" fontId="28" fillId="0" borderId="27" xfId="0" applyNumberFormat="1" applyFont="1" applyBorder="1" applyProtection="1">
      <protection locked="0"/>
    </xf>
    <xf numFmtId="165" fontId="33" fillId="0" borderId="0" xfId="0" applyNumberFormat="1" applyFont="1"/>
    <xf numFmtId="0" fontId="33" fillId="0" borderId="17" xfId="0" applyFont="1" applyBorder="1"/>
    <xf numFmtId="0" fontId="33" fillId="0" borderId="0" xfId="0" applyFont="1"/>
    <xf numFmtId="0" fontId="8" fillId="0" borderId="0" xfId="0" applyFont="1" applyAlignment="1">
      <alignment horizontal="left"/>
    </xf>
    <xf numFmtId="166" fontId="12" fillId="0" borderId="0" xfId="0" applyNumberFormat="1" applyFont="1"/>
    <xf numFmtId="0" fontId="12" fillId="0" borderId="0" xfId="0" applyFont="1" applyAlignment="1">
      <alignment horizontal="right"/>
    </xf>
    <xf numFmtId="0" fontId="12" fillId="0" borderId="26" xfId="0" applyFont="1" applyBorder="1"/>
    <xf numFmtId="44" fontId="12" fillId="0" borderId="0" xfId="0" applyNumberFormat="1" applyFont="1"/>
    <xf numFmtId="166" fontId="34" fillId="0" borderId="1" xfId="0" applyNumberFormat="1" applyFont="1" applyBorder="1" applyAlignment="1">
      <alignment horizontal="left" vertical="top"/>
    </xf>
    <xf numFmtId="166" fontId="34" fillId="0" borderId="4" xfId="0" applyNumberFormat="1" applyFont="1" applyBorder="1" applyAlignment="1">
      <alignment horizontal="left" vertical="top"/>
    </xf>
    <xf numFmtId="166" fontId="34" fillId="0" borderId="6" xfId="0" applyNumberFormat="1" applyFont="1" applyBorder="1" applyAlignment="1">
      <alignment horizontal="left" vertical="top"/>
    </xf>
    <xf numFmtId="166" fontId="34" fillId="0" borderId="0" xfId="0" applyNumberFormat="1" applyFont="1" applyAlignment="1">
      <alignment horizontal="left" vertical="top"/>
    </xf>
    <xf numFmtId="166" fontId="34" fillId="0" borderId="7" xfId="0" applyNumberFormat="1" applyFont="1" applyBorder="1" applyAlignment="1">
      <alignment horizontal="left" vertical="top"/>
    </xf>
    <xf numFmtId="14" fontId="0" fillId="0" borderId="0" xfId="0" applyNumberForma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0" xfId="0" applyFont="1" applyBorder="1" applyAlignment="1" applyProtection="1">
      <alignment horizontal="center"/>
      <protection locked="0"/>
    </xf>
    <xf numFmtId="0" fontId="3" fillId="0" borderId="11" xfId="0" applyFont="1" applyBorder="1" applyAlignment="1" applyProtection="1">
      <alignment horizontal="center"/>
      <protection locked="0"/>
    </xf>
    <xf numFmtId="0" fontId="3" fillId="0" borderId="12" xfId="0" applyFont="1" applyBorder="1" applyAlignment="1" applyProtection="1">
      <alignment horizontal="center"/>
      <protection locked="0"/>
    </xf>
    <xf numFmtId="0" fontId="30" fillId="2" borderId="0" xfId="1" applyFont="1" applyFill="1" applyAlignment="1">
      <alignment horizontal="center" vertical="center"/>
    </xf>
    <xf numFmtId="0" fontId="5" fillId="0" borderId="0" xfId="0" applyFont="1" applyAlignment="1">
      <alignment horizontal="center"/>
    </xf>
    <xf numFmtId="0" fontId="3" fillId="0" borderId="30" xfId="0" applyFont="1" applyBorder="1" applyAlignment="1">
      <alignment horizontal="center" vertical="center" wrapText="1"/>
    </xf>
    <xf numFmtId="0" fontId="4" fillId="2" borderId="13"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15" xfId="1" applyFont="1" applyFill="1" applyBorder="1" applyAlignment="1">
      <alignment horizontal="center" vertical="center" wrapText="1"/>
    </xf>
    <xf numFmtId="0" fontId="18" fillId="2" borderId="0" xfId="1" applyFont="1" applyFill="1" applyAlignment="1">
      <alignment horizontal="center" vertical="center"/>
    </xf>
    <xf numFmtId="0" fontId="11" fillId="2" borderId="1" xfId="1" applyFont="1" applyFill="1" applyBorder="1" applyAlignment="1" applyProtection="1">
      <alignment horizontal="center" vertical="center"/>
      <protection hidden="1"/>
    </xf>
    <xf numFmtId="0" fontId="11" fillId="2" borderId="3" xfId="1" applyFont="1" applyFill="1" applyBorder="1" applyAlignment="1" applyProtection="1">
      <alignment horizontal="center" vertical="center"/>
      <protection hidden="1"/>
    </xf>
    <xf numFmtId="0" fontId="3" fillId="0" borderId="21" xfId="0" applyFont="1" applyBorder="1" applyAlignment="1">
      <alignment horizontal="left" vertical="top"/>
    </xf>
    <xf numFmtId="0" fontId="3" fillId="0" borderId="23" xfId="0" applyFont="1" applyBorder="1" applyAlignment="1">
      <alignment horizontal="left" vertical="top"/>
    </xf>
    <xf numFmtId="0" fontId="23" fillId="7" borderId="0" xfId="0" applyFont="1" applyFill="1" applyAlignment="1">
      <alignment horizontal="center" vertical="center"/>
    </xf>
  </cellXfs>
  <cellStyles count="8">
    <cellStyle name="Currency" xfId="7" builtinId="4"/>
    <cellStyle name="Currency 2" xfId="5" xr:uid="{18118535-FAB7-4E96-866D-0DFDA3890528}"/>
    <cellStyle name="Currency 4" xfId="2" xr:uid="{A18CE863-3357-4524-9513-634E0F276EB0}"/>
    <cellStyle name="Hyperlink" xfId="6" builtinId="8"/>
    <cellStyle name="Normal" xfId="0" builtinId="0"/>
    <cellStyle name="Normal 2" xfId="4" xr:uid="{EB57A275-DF80-4B16-952F-66AACBDFD633}"/>
    <cellStyle name="Normal 2 2" xfId="1" xr:uid="{EACF13EA-7AB3-49E6-824B-6870FF971E6C}"/>
    <cellStyle name="Percent 3" xfId="3" xr:uid="{6B37EBC7-386F-4E51-9ADF-8FBEBC6C228C}"/>
  </cellStyles>
  <dxfs count="6">
    <dxf>
      <font>
        <b/>
        <i/>
        <color rgb="FF00CC5C"/>
      </font>
    </dxf>
    <dxf>
      <font>
        <b/>
        <i/>
        <color rgb="FFE6591A"/>
      </font>
    </dxf>
    <dxf>
      <font>
        <b/>
        <i/>
        <color rgb="FFEE0000"/>
      </font>
    </dxf>
    <dxf>
      <font>
        <b/>
        <i val="0"/>
        <color rgb="FFEE0000"/>
      </font>
    </dxf>
    <dxf>
      <font>
        <b/>
        <i val="0"/>
        <color rgb="FFEE0000"/>
      </font>
    </dxf>
    <dxf>
      <font>
        <b/>
        <i val="0"/>
        <color rgb="FFEE0000"/>
      </font>
    </dxf>
  </dxfs>
  <tableStyles count="0" defaultTableStyle="TableStyleMedium2" defaultPivotStyle="PivotStyleLight16"/>
  <colors>
    <mruColors>
      <color rgb="FF000099"/>
      <color rgb="FFE6591A"/>
      <color rgb="FFEE7C26"/>
      <color rgb="FFF42206"/>
      <color rgb="FF00CC5C"/>
      <color rgb="FFEF8231"/>
      <color rgb="FFED70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99859</xdr:colOff>
      <xdr:row>2</xdr:row>
      <xdr:rowOff>87966</xdr:rowOff>
    </xdr:from>
    <xdr:to>
      <xdr:col>2</xdr:col>
      <xdr:colOff>1396746</xdr:colOff>
      <xdr:row>3</xdr:row>
      <xdr:rowOff>93907</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327922" y="316029"/>
          <a:ext cx="1296887" cy="4486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108858</xdr:colOff>
      <xdr:row>2</xdr:row>
      <xdr:rowOff>88224</xdr:rowOff>
    </xdr:from>
    <xdr:to>
      <xdr:col>3</xdr:col>
      <xdr:colOff>778449</xdr:colOff>
      <xdr:row>3</xdr:row>
      <xdr:rowOff>119479</xdr:rowOff>
    </xdr:to>
    <xdr:pic>
      <xdr:nvPicPr>
        <xdr:cNvPr id="2" name="Picture 1">
          <a:extLst>
            <a:ext uri="{FF2B5EF4-FFF2-40B4-BE49-F238E27FC236}">
              <a16:creationId xmlns:a16="http://schemas.microsoft.com/office/drawing/2014/main" id="{CF22ABFB-492A-4A79-BC15-F7EFCB7F0E83}"/>
            </a:ext>
          </a:extLst>
        </xdr:cNvPr>
        <xdr:cNvPicPr>
          <a:picLocks noChangeAspect="1"/>
        </xdr:cNvPicPr>
      </xdr:nvPicPr>
      <xdr:blipFill>
        <a:blip xmlns:r="http://schemas.openxmlformats.org/officeDocument/2006/relationships" r:embed="rId1"/>
        <a:stretch>
          <a:fillRect/>
        </a:stretch>
      </xdr:blipFill>
      <xdr:spPr>
        <a:xfrm>
          <a:off x="462644" y="333153"/>
          <a:ext cx="1159448" cy="45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46</xdr:row>
      <xdr:rowOff>178594</xdr:rowOff>
    </xdr:from>
    <xdr:to>
      <xdr:col>5</xdr:col>
      <xdr:colOff>321970</xdr:colOff>
      <xdr:row>69</xdr:row>
      <xdr:rowOff>181090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8941594"/>
          <a:ext cx="4989220" cy="4383996"/>
        </a:xfrm>
        <a:prstGeom prst="rect">
          <a:avLst/>
        </a:prstGeom>
      </xdr:spPr>
    </xdr:pic>
    <xdr:clientData/>
  </xdr:twoCellAnchor>
  <xdr:twoCellAnchor editAs="oneCell">
    <xdr:from>
      <xdr:col>1</xdr:col>
      <xdr:colOff>9525</xdr:colOff>
      <xdr:row>30</xdr:row>
      <xdr:rowOff>9525</xdr:rowOff>
    </xdr:from>
    <xdr:to>
      <xdr:col>5</xdr:col>
      <xdr:colOff>382093</xdr:colOff>
      <xdr:row>44</xdr:row>
      <xdr:rowOff>173636</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259556" y="5724525"/>
          <a:ext cx="4789787" cy="28311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1</xdr:row>
      <xdr:rowOff>57150</xdr:rowOff>
    </xdr:from>
    <xdr:to>
      <xdr:col>1</xdr:col>
      <xdr:colOff>1236528</xdr:colOff>
      <xdr:row>3</xdr:row>
      <xdr:rowOff>133909</xdr:rowOff>
    </xdr:to>
    <xdr:pic>
      <xdr:nvPicPr>
        <xdr:cNvPr id="5" name="Picture 4">
          <a:extLst>
            <a:ext uri="{FF2B5EF4-FFF2-40B4-BE49-F238E27FC236}">
              <a16:creationId xmlns:a16="http://schemas.microsoft.com/office/drawing/2014/main" id="{26E5A2BA-DA9D-48EC-A5F2-8F2FF7B7C417}"/>
            </a:ext>
          </a:extLst>
        </xdr:cNvPr>
        <xdr:cNvPicPr>
          <a:picLocks noChangeAspect="1"/>
        </xdr:cNvPicPr>
      </xdr:nvPicPr>
      <xdr:blipFill>
        <a:blip xmlns:r="http://schemas.openxmlformats.org/officeDocument/2006/relationships" r:embed="rId1"/>
        <a:stretch>
          <a:fillRect/>
        </a:stretch>
      </xdr:blipFill>
      <xdr:spPr>
        <a:xfrm>
          <a:off x="190500" y="247650"/>
          <a:ext cx="1284153" cy="45775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ato.gov.au/Rates/HELP,-TSL-and-SFSS-repayment-thresholds-and-rates/"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06522-A5B2-4A14-9C02-DDD6A767353B}">
  <sheetPr codeName="Sheet1">
    <pageSetUpPr fitToPage="1"/>
  </sheetPr>
  <dimension ref="B2:Q147"/>
  <sheetViews>
    <sheetView showGridLines="0" tabSelected="1" zoomScale="80" zoomScaleNormal="80" workbookViewId="0">
      <selection activeCell="D43" sqref="D43"/>
    </sheetView>
  </sheetViews>
  <sheetFormatPr defaultColWidth="9.140625" defaultRowHeight="14.25"/>
  <cols>
    <col min="1" max="1" width="2.7109375" style="23" customWidth="1"/>
    <col min="2" max="2" width="0.85546875" style="23" customWidth="1"/>
    <col min="3" max="3" width="42.5703125" style="28" bestFit="1" customWidth="1"/>
    <col min="4" max="4" width="22.7109375" style="23" customWidth="1"/>
    <col min="5" max="5" width="0.85546875" style="23" customWidth="1"/>
    <col min="6" max="6" width="22.7109375" style="23" customWidth="1"/>
    <col min="7" max="7" width="0.85546875" style="23" customWidth="1"/>
    <col min="8" max="8" width="22.7109375" style="23" customWidth="1"/>
    <col min="9" max="9" width="0.85546875" style="23" customWidth="1"/>
    <col min="10" max="10" width="28.5703125" style="23" customWidth="1"/>
    <col min="11" max="11" width="0.85546875" style="23" customWidth="1"/>
    <col min="12" max="12" width="30.85546875" style="23" customWidth="1"/>
    <col min="13" max="13" width="0.85546875" style="23" customWidth="1"/>
    <col min="14" max="14" width="20.140625" style="23" customWidth="1"/>
    <col min="15" max="15" width="12.85546875" style="23" bestFit="1" customWidth="1"/>
    <col min="16" max="16" width="11.7109375" style="23" bestFit="1" customWidth="1"/>
    <col min="17" max="16384" width="9.140625" style="23"/>
  </cols>
  <sheetData>
    <row r="2" spans="2:14" ht="5.0999999999999996" customHeight="1">
      <c r="B2" s="111"/>
      <c r="C2" s="112"/>
      <c r="D2" s="113"/>
      <c r="E2" s="113"/>
      <c r="F2" s="113"/>
      <c r="G2" s="113"/>
      <c r="H2" s="113"/>
      <c r="I2" s="113"/>
      <c r="J2" s="113"/>
      <c r="K2" s="113"/>
      <c r="L2" s="113"/>
      <c r="M2" s="114"/>
    </row>
    <row r="3" spans="2:14" ht="34.5" customHeight="1">
      <c r="B3" s="115"/>
      <c r="C3" s="216" t="s">
        <v>202</v>
      </c>
      <c r="D3" s="216"/>
      <c r="E3" s="216"/>
      <c r="F3" s="216"/>
      <c r="G3" s="216"/>
      <c r="H3" s="216"/>
      <c r="I3" s="216"/>
      <c r="J3" s="216"/>
      <c r="K3" s="216"/>
      <c r="L3" s="216"/>
      <c r="M3" s="24"/>
    </row>
    <row r="4" spans="2:14" ht="15" customHeight="1">
      <c r="B4" s="115"/>
      <c r="C4" s="216"/>
      <c r="D4" s="216"/>
      <c r="E4" s="216"/>
      <c r="F4" s="216"/>
      <c r="G4" s="216"/>
      <c r="H4" s="216"/>
      <c r="I4" s="216"/>
      <c r="J4" s="216"/>
      <c r="K4" s="216"/>
      <c r="L4" s="216"/>
      <c r="M4" s="24"/>
    </row>
    <row r="5" spans="2:14">
      <c r="B5" s="115"/>
      <c r="M5" s="24"/>
    </row>
    <row r="6" spans="2:14" ht="15" customHeight="1">
      <c r="B6" s="115"/>
      <c r="C6" s="116" t="s">
        <v>0</v>
      </c>
      <c r="D6" s="117" t="s">
        <v>1</v>
      </c>
      <c r="E6" s="117"/>
      <c r="F6" s="117" t="s">
        <v>2</v>
      </c>
      <c r="G6" s="117"/>
      <c r="H6" s="117" t="s">
        <v>3</v>
      </c>
      <c r="I6" s="117"/>
      <c r="J6" s="117" t="s">
        <v>4</v>
      </c>
      <c r="K6" s="117"/>
      <c r="L6" s="117"/>
      <c r="M6" s="24"/>
    </row>
    <row r="7" spans="2:14" ht="9.9499999999999993" customHeight="1">
      <c r="B7" s="115"/>
      <c r="M7" s="24"/>
    </row>
    <row r="8" spans="2:14" ht="15" customHeight="1">
      <c r="B8" s="115"/>
      <c r="C8" s="28" t="s">
        <v>5</v>
      </c>
      <c r="D8" s="18"/>
      <c r="E8" s="118"/>
      <c r="F8" s="18"/>
      <c r="G8" s="118"/>
      <c r="H8" s="18"/>
      <c r="I8" s="118"/>
      <c r="J8" s="18"/>
      <c r="K8" s="118"/>
      <c r="L8" s="118"/>
      <c r="M8" s="24"/>
    </row>
    <row r="9" spans="2:14" ht="3" customHeight="1">
      <c r="B9" s="115"/>
      <c r="D9" s="118"/>
      <c r="E9" s="118"/>
      <c r="F9" s="118"/>
      <c r="G9" s="118"/>
      <c r="H9" s="118"/>
      <c r="I9" s="118"/>
      <c r="J9" s="118"/>
      <c r="K9" s="118"/>
      <c r="L9" s="118"/>
      <c r="M9" s="24"/>
    </row>
    <row r="10" spans="2:14" ht="9.9499999999999993" customHeight="1">
      <c r="B10" s="115"/>
      <c r="M10" s="24"/>
    </row>
    <row r="11" spans="2:14" ht="15">
      <c r="B11" s="115"/>
      <c r="C11" s="116" t="s">
        <v>6</v>
      </c>
      <c r="D11" s="117"/>
      <c r="E11" s="117"/>
      <c r="F11" s="119"/>
      <c r="G11" s="120"/>
      <c r="H11" s="120"/>
      <c r="I11" s="120"/>
      <c r="J11" s="121"/>
      <c r="K11" s="120"/>
      <c r="L11" s="121"/>
      <c r="M11" s="122"/>
      <c r="N11" s="115"/>
    </row>
    <row r="12" spans="2:14" ht="5.0999999999999996" customHeight="1">
      <c r="B12" s="115"/>
      <c r="C12" s="123"/>
      <c r="D12" s="124"/>
      <c r="E12" s="124"/>
      <c r="F12" s="125"/>
      <c r="G12" s="126"/>
      <c r="H12" s="126"/>
      <c r="I12" s="126"/>
      <c r="J12" s="127"/>
      <c r="K12" s="126"/>
      <c r="M12" s="24"/>
    </row>
    <row r="13" spans="2:14" ht="3" customHeight="1">
      <c r="B13" s="115"/>
      <c r="C13" s="128"/>
      <c r="D13" s="129"/>
      <c r="E13" s="129"/>
      <c r="F13" s="129"/>
      <c r="G13" s="129"/>
      <c r="H13" s="129"/>
      <c r="I13" s="129"/>
      <c r="J13" s="129"/>
      <c r="K13" s="129"/>
      <c r="L13" s="129"/>
      <c r="M13" s="24"/>
    </row>
    <row r="14" spans="2:14" ht="39.75">
      <c r="B14" s="115"/>
      <c r="D14" s="130" t="s">
        <v>7</v>
      </c>
      <c r="E14" s="130"/>
      <c r="F14" s="130" t="s">
        <v>8</v>
      </c>
      <c r="G14" s="130"/>
      <c r="H14" s="130" t="s">
        <v>9</v>
      </c>
      <c r="I14" s="130"/>
      <c r="J14" s="130" t="s">
        <v>10</v>
      </c>
      <c r="K14" s="130"/>
      <c r="L14" s="130" t="s">
        <v>11</v>
      </c>
      <c r="M14" s="24"/>
    </row>
    <row r="15" spans="2:14" ht="3" customHeight="1">
      <c r="B15" s="115"/>
      <c r="L15" s="130"/>
      <c r="M15" s="24"/>
    </row>
    <row r="16" spans="2:14" ht="15" customHeight="1">
      <c r="B16" s="115"/>
      <c r="C16" s="28" t="s">
        <v>12</v>
      </c>
      <c r="D16" s="15"/>
      <c r="E16" s="25"/>
      <c r="F16" s="16"/>
      <c r="G16" s="25"/>
      <c r="H16" s="17"/>
      <c r="J16" s="131" t="str">
        <f>IFERROR(INT(-PMT((IF(H16+3%&lt;7.25%,7.25%,H16+3%))/12,F16,D16,0)+1),"")</f>
        <v/>
      </c>
      <c r="L16" s="131" t="str">
        <f>IFERROR(INT(-PMT(H16/12,F16,D16,0)+1),"")</f>
        <v/>
      </c>
      <c r="M16" s="24"/>
    </row>
    <row r="17" spans="2:16" ht="3" customHeight="1">
      <c r="B17" s="115"/>
      <c r="D17" s="25"/>
      <c r="F17" s="132"/>
      <c r="H17" s="133"/>
      <c r="L17" s="130"/>
      <c r="M17" s="24"/>
    </row>
    <row r="18" spans="2:16" ht="15" customHeight="1">
      <c r="B18" s="115"/>
      <c r="C18" s="28" t="s">
        <v>13</v>
      </c>
      <c r="D18" s="15"/>
      <c r="E18" s="25"/>
      <c r="F18" s="16"/>
      <c r="G18" s="25"/>
      <c r="H18" s="17"/>
      <c r="J18" s="131" t="str">
        <f>IFERROR(INT(-PMT((IF(H18+3%&lt;7.25%,7.25%,H18+3%))/12,F18,D18,0)+1),"")</f>
        <v/>
      </c>
      <c r="L18" s="131" t="str">
        <f>IFERROR(INT(-PMT(H18/12,F18,D18,0)+1),"")</f>
        <v/>
      </c>
      <c r="M18" s="24"/>
    </row>
    <row r="19" spans="2:16" ht="3" customHeight="1">
      <c r="B19" s="115"/>
      <c r="D19" s="25"/>
      <c r="F19" s="132"/>
      <c r="H19" s="133"/>
      <c r="L19" s="130"/>
      <c r="M19" s="24"/>
    </row>
    <row r="20" spans="2:16" ht="15" customHeight="1">
      <c r="B20" s="115"/>
      <c r="C20" s="28" t="s">
        <v>14</v>
      </c>
      <c r="D20" s="15"/>
      <c r="E20" s="25"/>
      <c r="F20" s="16"/>
      <c r="G20" s="25"/>
      <c r="H20" s="17"/>
      <c r="I20" s="133"/>
      <c r="J20" s="131" t="str">
        <f>IFERROR(INT(-PMT((IF(H20+3%&lt;7.25%,7.25%,H20+3%))/12,F20,D20,0)+1),"")</f>
        <v/>
      </c>
      <c r="L20" s="131" t="str">
        <f>IFERROR(INT(-PMT(H20/12,F20,D20,0)+1),"")</f>
        <v/>
      </c>
      <c r="M20" s="24"/>
    </row>
    <row r="21" spans="2:16" ht="3" customHeight="1">
      <c r="B21" s="115"/>
      <c r="D21" s="25"/>
      <c r="F21" s="132"/>
      <c r="H21" s="133"/>
      <c r="L21" s="130"/>
      <c r="M21" s="24"/>
    </row>
    <row r="22" spans="2:16" ht="15" customHeight="1">
      <c r="B22" s="115"/>
      <c r="C22" s="28" t="s">
        <v>15</v>
      </c>
      <c r="D22" s="15"/>
      <c r="E22" s="25"/>
      <c r="F22" s="16"/>
      <c r="G22" s="25"/>
      <c r="H22" s="17"/>
      <c r="J22" s="131" t="str">
        <f>IFERROR(INT(-PMT((IF(H22+3%&lt;7.25%,7.25%,H22+3%))/12,F22,D22,0)+1),"")</f>
        <v/>
      </c>
      <c r="L22" s="131" t="str">
        <f>IFERROR(INT(-PMT(H22/12,F22,D22,0)+1),"")</f>
        <v/>
      </c>
      <c r="M22" s="24"/>
    </row>
    <row r="23" spans="2:16" ht="3" customHeight="1" thickBot="1">
      <c r="B23" s="115"/>
      <c r="D23" s="25"/>
      <c r="F23" s="25"/>
      <c r="H23" s="25"/>
      <c r="L23" s="130"/>
      <c r="M23" s="24"/>
    </row>
    <row r="24" spans="2:16" ht="15" customHeight="1" thickTop="1">
      <c r="B24" s="115"/>
      <c r="C24" s="28" t="s">
        <v>16</v>
      </c>
      <c r="D24" s="134">
        <f>SUM(D16,D18,D20,D22)</f>
        <v>0</v>
      </c>
      <c r="F24" s="25"/>
      <c r="H24" s="25"/>
      <c r="J24" s="131">
        <f>SUM(J16,J18,J20,J22)</f>
        <v>0</v>
      </c>
      <c r="L24" s="131">
        <f>SUM(L16,L18,L20,L22)</f>
        <v>0</v>
      </c>
      <c r="M24" s="24"/>
      <c r="P24" s="135"/>
    </row>
    <row r="25" spans="2:16" ht="9.9499999999999993" customHeight="1">
      <c r="B25" s="115"/>
      <c r="L25" s="130"/>
      <c r="M25" s="24"/>
    </row>
    <row r="26" spans="2:16" ht="15">
      <c r="B26" s="115"/>
      <c r="C26" s="116" t="s">
        <v>17</v>
      </c>
      <c r="D26" s="136"/>
      <c r="E26" s="136"/>
      <c r="F26" s="119"/>
      <c r="G26" s="119"/>
      <c r="H26" s="120"/>
      <c r="I26" s="120"/>
      <c r="J26" s="119"/>
      <c r="K26" s="119"/>
      <c r="L26" s="119"/>
      <c r="M26" s="24"/>
    </row>
    <row r="27" spans="2:16" ht="5.0999999999999996" customHeight="1">
      <c r="B27" s="115"/>
      <c r="C27" s="123"/>
      <c r="D27" s="137"/>
      <c r="E27" s="137"/>
      <c r="F27" s="125"/>
      <c r="G27" s="125"/>
      <c r="H27" s="126"/>
      <c r="I27" s="126"/>
      <c r="J27" s="125"/>
      <c r="K27" s="125"/>
      <c r="L27" s="125"/>
      <c r="M27" s="24"/>
    </row>
    <row r="28" spans="2:16" ht="15" customHeight="1">
      <c r="B28" s="115"/>
      <c r="D28" s="218" t="s">
        <v>18</v>
      </c>
      <c r="E28" s="218"/>
      <c r="F28" s="218"/>
      <c r="H28" s="118" t="s">
        <v>19</v>
      </c>
      <c r="J28" s="118" t="s">
        <v>20</v>
      </c>
      <c r="M28" s="24"/>
    </row>
    <row r="29" spans="2:16" ht="15" customHeight="1">
      <c r="B29" s="115"/>
      <c r="C29" s="28" t="s">
        <v>21</v>
      </c>
      <c r="D29" s="213"/>
      <c r="E29" s="214"/>
      <c r="F29" s="215"/>
      <c r="H29" s="16"/>
      <c r="J29" s="15"/>
      <c r="M29" s="24"/>
    </row>
    <row r="30" spans="2:16" ht="3" customHeight="1">
      <c r="B30" s="115"/>
      <c r="H30" s="132"/>
      <c r="J30" s="25"/>
      <c r="M30" s="24"/>
    </row>
    <row r="31" spans="2:16" ht="15" customHeight="1">
      <c r="B31" s="115"/>
      <c r="C31" s="28" t="s">
        <v>22</v>
      </c>
      <c r="D31" s="213"/>
      <c r="E31" s="214"/>
      <c r="F31" s="215"/>
      <c r="H31" s="16"/>
      <c r="J31" s="15"/>
      <c r="M31" s="24"/>
    </row>
    <row r="32" spans="2:16" ht="3" customHeight="1">
      <c r="B32" s="115"/>
      <c r="H32" s="132"/>
      <c r="J32" s="25"/>
      <c r="M32" s="24"/>
    </row>
    <row r="33" spans="2:17" ht="15" customHeight="1">
      <c r="B33" s="115"/>
      <c r="C33" s="28" t="s">
        <v>23</v>
      </c>
      <c r="D33" s="213"/>
      <c r="E33" s="214"/>
      <c r="F33" s="215"/>
      <c r="H33" s="16"/>
      <c r="J33" s="15"/>
      <c r="M33" s="24"/>
    </row>
    <row r="34" spans="2:17" ht="3" customHeight="1">
      <c r="B34" s="115"/>
      <c r="H34" s="132"/>
      <c r="J34" s="25"/>
      <c r="M34" s="24"/>
    </row>
    <row r="35" spans="2:17" ht="15" customHeight="1">
      <c r="B35" s="115"/>
      <c r="C35" s="28" t="s">
        <v>24</v>
      </c>
      <c r="D35" s="213"/>
      <c r="E35" s="214"/>
      <c r="F35" s="215"/>
      <c r="H35" s="16"/>
      <c r="J35" s="15"/>
      <c r="M35" s="24"/>
    </row>
    <row r="36" spans="2:17" ht="3" customHeight="1">
      <c r="B36" s="115"/>
      <c r="M36" s="24"/>
    </row>
    <row r="37" spans="2:17" ht="15" customHeight="1">
      <c r="B37" s="115"/>
      <c r="C37" s="28" t="s">
        <v>25</v>
      </c>
      <c r="J37" s="138">
        <f>SUM(J29,J31,J33,J35)</f>
        <v>0</v>
      </c>
      <c r="M37" s="24"/>
    </row>
    <row r="38" spans="2:17" ht="3" customHeight="1">
      <c r="B38" s="115"/>
      <c r="M38" s="24"/>
    </row>
    <row r="39" spans="2:17" ht="15" customHeight="1">
      <c r="B39" s="115"/>
      <c r="C39" s="28" t="s">
        <v>26</v>
      </c>
      <c r="J39" s="139" t="str">
        <f>IFERROR(D24/J37,"")</f>
        <v/>
      </c>
      <c r="M39" s="24"/>
    </row>
    <row r="40" spans="2:17">
      <c r="B40" s="115"/>
      <c r="M40" s="24"/>
    </row>
    <row r="41" spans="2:17" ht="15">
      <c r="B41" s="115"/>
      <c r="C41" s="116" t="s">
        <v>27</v>
      </c>
      <c r="D41" s="117" t="s">
        <v>1</v>
      </c>
      <c r="E41" s="117"/>
      <c r="F41" s="117" t="s">
        <v>2</v>
      </c>
      <c r="G41" s="117"/>
      <c r="H41" s="117" t="s">
        <v>3</v>
      </c>
      <c r="I41" s="117"/>
      <c r="J41" s="117" t="s">
        <v>4</v>
      </c>
      <c r="K41" s="117"/>
      <c r="L41" s="117"/>
      <c r="M41" s="24"/>
    </row>
    <row r="42" spans="2:17" ht="9.9499999999999993" customHeight="1">
      <c r="B42" s="115"/>
      <c r="M42" s="24"/>
    </row>
    <row r="43" spans="2:17" ht="15" customHeight="1">
      <c r="B43" s="115"/>
      <c r="C43" s="28" t="s">
        <v>28</v>
      </c>
      <c r="D43" s="19"/>
      <c r="E43" s="27"/>
      <c r="F43" s="19"/>
      <c r="G43" s="27"/>
      <c r="H43" s="19"/>
      <c r="I43" s="27"/>
      <c r="J43" s="19"/>
      <c r="K43" s="27"/>
      <c r="L43" s="190"/>
      <c r="M43" s="191"/>
      <c r="N43" s="192"/>
      <c r="O43" s="192"/>
      <c r="P43" s="192"/>
    </row>
    <row r="44" spans="2:17" ht="3" customHeight="1">
      <c r="B44" s="115"/>
      <c r="L44" s="190"/>
      <c r="M44" s="191"/>
      <c r="N44" s="192"/>
      <c r="O44" s="192"/>
      <c r="P44" s="192"/>
    </row>
    <row r="45" spans="2:17" ht="40.5">
      <c r="B45" s="115"/>
      <c r="C45" s="28" t="s">
        <v>29</v>
      </c>
      <c r="D45" s="19"/>
      <c r="E45" s="27"/>
      <c r="F45" s="19"/>
      <c r="G45" s="27"/>
      <c r="H45" s="19"/>
      <c r="I45" s="27"/>
      <c r="J45" s="19"/>
      <c r="K45" s="27"/>
      <c r="L45" s="190"/>
      <c r="M45" s="191"/>
      <c r="N45" s="162"/>
      <c r="O45" s="162"/>
      <c r="P45" s="196"/>
      <c r="Q45" s="162"/>
    </row>
    <row r="46" spans="2:17" ht="3" customHeight="1">
      <c r="B46" s="115"/>
      <c r="D46" s="140"/>
      <c r="E46" s="27"/>
      <c r="F46" s="140"/>
      <c r="G46" s="27"/>
      <c r="H46" s="140"/>
      <c r="I46" s="27"/>
      <c r="J46" s="140"/>
      <c r="K46" s="27"/>
      <c r="L46" s="190"/>
      <c r="M46" s="191"/>
      <c r="N46" s="162"/>
      <c r="O46" s="162"/>
      <c r="P46" s="162"/>
      <c r="Q46" s="162"/>
    </row>
    <row r="47" spans="2:17" ht="15" customHeight="1">
      <c r="B47" s="115"/>
      <c r="C47" s="28" t="s">
        <v>30</v>
      </c>
      <c r="D47" s="15"/>
      <c r="F47" s="15"/>
      <c r="H47" s="15"/>
      <c r="J47" s="15"/>
      <c r="L47" s="190"/>
      <c r="M47" s="191"/>
      <c r="N47" s="162"/>
      <c r="O47" s="162"/>
      <c r="P47" s="162"/>
      <c r="Q47" s="162"/>
    </row>
    <row r="48" spans="2:17" ht="3" customHeight="1">
      <c r="B48" s="115"/>
      <c r="L48" s="190"/>
      <c r="M48" s="191"/>
      <c r="N48" s="162"/>
      <c r="O48" s="162"/>
      <c r="P48" s="162"/>
      <c r="Q48" s="162"/>
    </row>
    <row r="49" spans="2:17" ht="15" customHeight="1">
      <c r="B49" s="115"/>
      <c r="C49" s="28" t="s">
        <v>31</v>
      </c>
      <c r="D49" s="15"/>
      <c r="F49" s="15"/>
      <c r="H49" s="15"/>
      <c r="J49" s="15"/>
      <c r="L49" s="141">
        <f>SUM(D49,F49,H49,J49)</f>
        <v>0</v>
      </c>
      <c r="M49" s="191"/>
      <c r="N49" s="162"/>
      <c r="O49" s="162" t="s">
        <v>32</v>
      </c>
      <c r="P49" s="162"/>
      <c r="Q49" s="162"/>
    </row>
    <row r="50" spans="2:17" ht="3" customHeight="1">
      <c r="B50" s="115"/>
      <c r="L50" s="141"/>
      <c r="M50" s="191"/>
      <c r="N50" s="162"/>
      <c r="O50" s="162"/>
      <c r="P50" s="162"/>
      <c r="Q50" s="162"/>
    </row>
    <row r="51" spans="2:17" ht="15" customHeight="1">
      <c r="B51" s="115"/>
      <c r="C51" s="142" t="s">
        <v>33</v>
      </c>
      <c r="D51" s="143">
        <f>IFERROR(SUM(D43,D45,D47),"")</f>
        <v>0</v>
      </c>
      <c r="E51" s="144"/>
      <c r="F51" s="143">
        <f>IFERROR(SUM(F43,F45,F47),"")</f>
        <v>0</v>
      </c>
      <c r="G51" s="144"/>
      <c r="H51" s="143">
        <f>IFERROR(SUM(H43,H45,H47),"")</f>
        <v>0</v>
      </c>
      <c r="I51" s="144"/>
      <c r="J51" s="143">
        <f>IFERROR(SUM(J43,J45,J47),"")</f>
        <v>0</v>
      </c>
      <c r="K51" s="25"/>
      <c r="L51" s="141">
        <f>SUM(D51,F51,H51,J51,L49)</f>
        <v>0</v>
      </c>
      <c r="M51" s="191"/>
      <c r="N51" s="162"/>
      <c r="O51" s="162" t="str" cm="1">
        <f t="array" ref="O51">INDEX(Variables!J35:X35,MATCH(1,('Loan Serviceability Calculator'!L51&gt;=Variables!J36:X36)*('Loan Serviceability Calculator'!L51&lt;=Variables!J37:X37),0))</f>
        <v xml:space="preserve">26000 or less </v>
      </c>
      <c r="P51" s="162"/>
      <c r="Q51" s="162"/>
    </row>
    <row r="52" spans="2:17" ht="3" customHeight="1">
      <c r="B52" s="115"/>
      <c r="D52" s="144"/>
      <c r="E52" s="144"/>
      <c r="F52" s="144"/>
      <c r="G52" s="144"/>
      <c r="H52" s="144"/>
      <c r="I52" s="144"/>
      <c r="J52" s="144"/>
      <c r="K52" s="25"/>
      <c r="L52" s="141"/>
      <c r="M52" s="191"/>
      <c r="N52" s="162"/>
      <c r="O52" s="162"/>
      <c r="P52" s="162"/>
      <c r="Q52" s="162"/>
    </row>
    <row r="53" spans="2:17" ht="15" customHeight="1">
      <c r="B53" s="115"/>
      <c r="C53" s="145" t="s">
        <v>34</v>
      </c>
      <c r="D53" s="143">
        <f>IFERROR((D51-(IF(D51&gt;18200,VLOOKUP(D51,Tax,2)+((D51-VLOOKUP(D51,Tax,1))*(VLOOKUP(D51,Tax,3)))+D51*0.02,0)))+D49,"")</f>
        <v>0</v>
      </c>
      <c r="E53" s="146"/>
      <c r="F53" s="143">
        <f>IFERROR((F51-(IF(F51&gt;18200,VLOOKUP(F51,Tax,2)+((F51-VLOOKUP(F51,Tax,1))*(VLOOKUP(F51,Tax,3)))+F51*0.02,0)))+F49,"")</f>
        <v>0</v>
      </c>
      <c r="G53" s="146"/>
      <c r="H53" s="143">
        <f>IFERROR((H51-(IF(H51&gt;18200,VLOOKUP(H51,Tax,2)+((H51-VLOOKUP(H51,Tax,1))*(VLOOKUP(H51,Tax,3)))+H51*0.02,0)))+H49,"")</f>
        <v>0</v>
      </c>
      <c r="I53" s="146"/>
      <c r="J53" s="143">
        <f>IFERROR((J51-(IF(J51&gt;18200,VLOOKUP(J51,Tax,2)+((J51-VLOOKUP(J51,Tax,1))*(VLOOKUP(J51,Tax,3)))+J51*0.02,0)))+J49,"")</f>
        <v>0</v>
      </c>
      <c r="K53" s="25"/>
      <c r="L53" s="195" t="s">
        <v>35</v>
      </c>
      <c r="M53" s="191"/>
      <c r="N53" s="162"/>
      <c r="O53" s="162" t="s">
        <v>35</v>
      </c>
      <c r="P53" s="162"/>
      <c r="Q53" s="162"/>
    </row>
    <row r="54" spans="2:17" ht="9.9499999999999993" customHeight="1">
      <c r="B54" s="115"/>
      <c r="M54" s="24"/>
      <c r="N54" s="162"/>
      <c r="O54" s="162"/>
      <c r="P54" s="162"/>
      <c r="Q54" s="162"/>
    </row>
    <row r="55" spans="2:17" ht="15">
      <c r="B55" s="115"/>
      <c r="C55" s="147" t="s">
        <v>36</v>
      </c>
      <c r="D55" s="148"/>
      <c r="E55" s="149"/>
      <c r="F55" s="150"/>
      <c r="G55" s="151"/>
      <c r="H55" s="150"/>
      <c r="I55" s="152"/>
      <c r="J55" s="150"/>
      <c r="K55" s="150"/>
      <c r="L55" s="150"/>
      <c r="M55" s="24"/>
      <c r="N55" s="162"/>
      <c r="O55" s="197"/>
      <c r="P55" s="162"/>
      <c r="Q55" s="162"/>
    </row>
    <row r="56" spans="2:17" ht="5.0999999999999996" customHeight="1">
      <c r="B56" s="115"/>
      <c r="C56" s="154"/>
      <c r="D56" s="27"/>
      <c r="E56" s="155"/>
      <c r="F56" s="156"/>
      <c r="G56" s="157"/>
      <c r="H56" s="156"/>
      <c r="I56" s="158"/>
      <c r="J56" s="156"/>
      <c r="K56" s="156"/>
      <c r="L56" s="27"/>
      <c r="M56" s="24"/>
      <c r="N56" s="162"/>
      <c r="O56" s="197"/>
      <c r="P56" s="162"/>
      <c r="Q56" s="162"/>
    </row>
    <row r="57" spans="2:17" ht="15">
      <c r="B57" s="115"/>
      <c r="C57" s="154"/>
      <c r="D57" s="217" t="s">
        <v>37</v>
      </c>
      <c r="E57" s="217"/>
      <c r="F57" s="217"/>
      <c r="G57" s="159"/>
      <c r="H57" s="160" t="s">
        <v>38</v>
      </c>
      <c r="I57" s="159"/>
      <c r="J57" s="160" t="s">
        <v>39</v>
      </c>
      <c r="K57" s="159"/>
      <c r="L57" s="159" t="s">
        <v>40</v>
      </c>
      <c r="M57" s="24"/>
      <c r="N57" s="162"/>
      <c r="O57" s="162"/>
      <c r="P57" s="162"/>
      <c r="Q57" s="162"/>
    </row>
    <row r="58" spans="2:17" ht="3" customHeight="1">
      <c r="B58" s="115"/>
      <c r="C58" s="154"/>
      <c r="D58" s="27"/>
      <c r="E58" s="27"/>
      <c r="F58" s="27"/>
      <c r="G58" s="27"/>
      <c r="H58" s="27"/>
      <c r="I58" s="27"/>
      <c r="J58" s="27"/>
      <c r="K58" s="27"/>
      <c r="L58" s="27"/>
      <c r="M58" s="24"/>
    </row>
    <row r="59" spans="2:17" ht="15" customHeight="1">
      <c r="B59" s="115"/>
      <c r="C59" s="28" t="s">
        <v>41</v>
      </c>
      <c r="D59" s="213"/>
      <c r="E59" s="214"/>
      <c r="F59" s="215"/>
      <c r="H59" s="15"/>
      <c r="J59" s="15"/>
      <c r="L59" s="26">
        <f>IF(H59="",0,IF(H59="Permanent Term",J59*0.8,IF(H59="Short Term",J59*0.7,IF(H59="Serviced Apartment/AirBnB",J59*0.7))))</f>
        <v>0</v>
      </c>
      <c r="M59" s="24"/>
    </row>
    <row r="60" spans="2:17" ht="3" customHeight="1">
      <c r="B60" s="115"/>
      <c r="H60" s="25"/>
      <c r="J60" s="25"/>
      <c r="L60" s="133"/>
      <c r="M60" s="24"/>
    </row>
    <row r="61" spans="2:17" ht="15" customHeight="1">
      <c r="B61" s="115"/>
      <c r="C61" s="28" t="s">
        <v>42</v>
      </c>
      <c r="D61" s="213"/>
      <c r="E61" s="214"/>
      <c r="F61" s="215"/>
      <c r="H61" s="15"/>
      <c r="J61" s="15"/>
      <c r="L61" s="26">
        <f>IF(H61="",0,IF(H61="Permanent Term",J61*0.8,IF(H61="Short Term",J61*0.7,IF(H61="Serviced Apartment/AirBnB",J61*0.7))))</f>
        <v>0</v>
      </c>
      <c r="M61" s="24"/>
    </row>
    <row r="62" spans="2:17" ht="3" customHeight="1">
      <c r="B62" s="115"/>
      <c r="H62" s="25"/>
      <c r="J62" s="25"/>
      <c r="L62" s="133"/>
      <c r="M62" s="24"/>
    </row>
    <row r="63" spans="2:17" ht="15" customHeight="1">
      <c r="B63" s="115"/>
      <c r="C63" s="28" t="s">
        <v>43</v>
      </c>
      <c r="D63" s="213"/>
      <c r="E63" s="214"/>
      <c r="F63" s="215"/>
      <c r="H63" s="15"/>
      <c r="J63" s="15"/>
      <c r="L63" s="26">
        <f>IF(H63="",0,IF(H63="Permanent Term",J63*0.8,IF(H63="Short Term",J63*0.7,IF(H63="Serviced Apartment/AirBnB",J63*0.7))))</f>
        <v>0</v>
      </c>
      <c r="M63" s="24"/>
    </row>
    <row r="64" spans="2:17" ht="3" customHeight="1">
      <c r="B64" s="115"/>
      <c r="H64" s="25"/>
      <c r="J64" s="25"/>
      <c r="L64" s="133"/>
      <c r="M64" s="24"/>
    </row>
    <row r="65" spans="2:13" ht="15" customHeight="1">
      <c r="B65" s="115"/>
      <c r="C65" s="28" t="s">
        <v>44</v>
      </c>
      <c r="D65" s="213"/>
      <c r="E65" s="214"/>
      <c r="F65" s="215"/>
      <c r="H65" s="15"/>
      <c r="J65" s="15"/>
      <c r="L65" s="26">
        <f>IF(H65="",0,IF(H65="Permanent Term",J65*0.8,IF(H65="Short Term",J65*0.7,IF(H65="Serviced Apartment/AirBnB",J65*0.7))))</f>
        <v>0</v>
      </c>
      <c r="M65" s="24"/>
    </row>
    <row r="66" spans="2:13" ht="9.9499999999999993" customHeight="1">
      <c r="B66" s="115"/>
      <c r="D66" s="161"/>
      <c r="E66" s="161"/>
      <c r="F66" s="161"/>
      <c r="H66" s="25"/>
      <c r="L66" s="25"/>
      <c r="M66" s="24"/>
    </row>
    <row r="67" spans="2:13" ht="29.25">
      <c r="B67" s="115"/>
      <c r="C67" s="142" t="s">
        <v>45</v>
      </c>
      <c r="D67" s="193"/>
      <c r="E67" s="193"/>
      <c r="F67" s="193"/>
      <c r="G67" s="193"/>
      <c r="H67" s="193"/>
      <c r="I67" s="193"/>
      <c r="J67" s="25"/>
      <c r="L67" s="162"/>
      <c r="M67" s="24"/>
    </row>
    <row r="68" spans="2:13" ht="3" customHeight="1">
      <c r="B68" s="115"/>
      <c r="L68" s="162"/>
      <c r="M68" s="24"/>
    </row>
    <row r="69" spans="2:13" ht="16.5" customHeight="1">
      <c r="B69" s="115"/>
      <c r="C69" s="28" t="str">
        <f>IF(D59="",C59,D59)</f>
        <v>Property 1</v>
      </c>
      <c r="D69" s="20"/>
      <c r="E69" s="163"/>
      <c r="F69" s="20"/>
      <c r="G69" s="163"/>
      <c r="H69" s="20"/>
      <c r="I69" s="163"/>
      <c r="J69" s="20"/>
      <c r="L69" s="164" t="str">
        <f>IF(SUM(D69+F69+H69+J69)&gt;100%,"Error","")</f>
        <v/>
      </c>
      <c r="M69" s="24"/>
    </row>
    <row r="70" spans="2:13" ht="3" customHeight="1">
      <c r="B70" s="115"/>
      <c r="D70" s="163"/>
      <c r="E70" s="163"/>
      <c r="F70" s="163"/>
      <c r="G70" s="163"/>
      <c r="H70" s="163"/>
      <c r="I70" s="163"/>
      <c r="J70" s="163"/>
      <c r="L70" s="162"/>
      <c r="M70" s="24"/>
    </row>
    <row r="71" spans="2:13" ht="15" customHeight="1">
      <c r="B71" s="115"/>
      <c r="C71" s="28" t="str">
        <f>IF(D61="",C61,D61)</f>
        <v>Property 2</v>
      </c>
      <c r="D71" s="20"/>
      <c r="E71" s="163"/>
      <c r="F71" s="20"/>
      <c r="G71" s="163"/>
      <c r="H71" s="20"/>
      <c r="I71" s="163"/>
      <c r="J71" s="20"/>
      <c r="L71" s="164" t="str">
        <f>IF(SUM(D71+F71+H71+J71)&gt;100%,"Error","")</f>
        <v/>
      </c>
      <c r="M71" s="24"/>
    </row>
    <row r="72" spans="2:13" ht="3" customHeight="1">
      <c r="B72" s="115"/>
      <c r="D72" s="163"/>
      <c r="E72" s="163"/>
      <c r="F72" s="163"/>
      <c r="G72" s="163"/>
      <c r="H72" s="163"/>
      <c r="I72" s="163"/>
      <c r="J72" s="163"/>
      <c r="L72" s="162"/>
      <c r="M72" s="24"/>
    </row>
    <row r="73" spans="2:13" ht="15" customHeight="1">
      <c r="B73" s="115"/>
      <c r="C73" s="28" t="str">
        <f>IF(D63="",C63,D63)</f>
        <v>Property 3</v>
      </c>
      <c r="D73" s="20"/>
      <c r="E73" s="163"/>
      <c r="F73" s="20"/>
      <c r="G73" s="163"/>
      <c r="H73" s="20"/>
      <c r="I73" s="163"/>
      <c r="J73" s="20"/>
      <c r="L73" s="164" t="str">
        <f>IF(SUM(D73+F73+H73+J73)&gt;100%,"Error","")</f>
        <v/>
      </c>
      <c r="M73" s="24"/>
    </row>
    <row r="74" spans="2:13" ht="3" customHeight="1">
      <c r="B74" s="115"/>
      <c r="D74" s="163"/>
      <c r="E74" s="163"/>
      <c r="F74" s="163"/>
      <c r="G74" s="163"/>
      <c r="H74" s="163"/>
      <c r="I74" s="163"/>
      <c r="J74" s="163"/>
      <c r="L74" s="165"/>
      <c r="M74" s="24"/>
    </row>
    <row r="75" spans="2:13" ht="15" customHeight="1">
      <c r="B75" s="115"/>
      <c r="C75" s="28" t="str">
        <f>IF(D65="",C65,D65)</f>
        <v>Property 4</v>
      </c>
      <c r="D75" s="20"/>
      <c r="E75" s="163"/>
      <c r="F75" s="20"/>
      <c r="G75" s="163"/>
      <c r="H75" s="20"/>
      <c r="I75" s="163"/>
      <c r="J75" s="20"/>
      <c r="L75" s="164" t="str">
        <f>IF(SUM(D75+F75+H75+J75)&gt;100%,"Error","")</f>
        <v/>
      </c>
      <c r="M75" s="24"/>
    </row>
    <row r="76" spans="2:13" ht="3" customHeight="1">
      <c r="B76" s="115"/>
      <c r="D76" s="163"/>
      <c r="F76" s="163"/>
      <c r="H76" s="163"/>
      <c r="J76" s="163"/>
      <c r="L76" s="165"/>
      <c r="M76" s="24"/>
    </row>
    <row r="77" spans="2:13" ht="15" customHeight="1">
      <c r="B77" s="115"/>
      <c r="C77" s="142" t="s">
        <v>46</v>
      </c>
      <c r="D77" s="166">
        <f>IFERROR((L59*D69)+(L61*D71)+(L63*D73)+(L65*D75),"")</f>
        <v>0</v>
      </c>
      <c r="E77" s="25"/>
      <c r="F77" s="166">
        <f>IFERROR((L59*F69)+(L61*F71)+(L63*F73)+(L65*F75),"")</f>
        <v>0</v>
      </c>
      <c r="G77" s="25"/>
      <c r="H77" s="166">
        <f>IFERROR((L59*H69)+(L61*H71)+(L63*H73)+(L65*H75),"")</f>
        <v>0</v>
      </c>
      <c r="I77" s="25"/>
      <c r="J77" s="166">
        <f>IFERROR((L59*J69)+(L61*J71)+(L63*J73)+(L65*J75),"")</f>
        <v>0</v>
      </c>
      <c r="K77" s="25"/>
      <c r="L77" s="26">
        <f>SUM(D77,F77,H77,J77)</f>
        <v>0</v>
      </c>
      <c r="M77" s="24"/>
    </row>
    <row r="78" spans="2:13" ht="9.9499999999999993" customHeight="1">
      <c r="B78" s="115"/>
      <c r="M78" s="24"/>
    </row>
    <row r="79" spans="2:13" ht="15">
      <c r="B79" s="115"/>
      <c r="C79" s="116" t="s">
        <v>47</v>
      </c>
      <c r="D79" s="136"/>
      <c r="E79" s="136"/>
      <c r="F79" s="120"/>
      <c r="G79" s="120"/>
      <c r="H79" s="167"/>
      <c r="I79" s="120"/>
      <c r="J79" s="167"/>
      <c r="K79" s="119"/>
      <c r="L79" s="167"/>
      <c r="M79" s="168"/>
    </row>
    <row r="80" spans="2:13" ht="5.0999999999999996" customHeight="1">
      <c r="B80" s="115"/>
      <c r="C80" s="123"/>
      <c r="D80" s="137"/>
      <c r="E80" s="137"/>
      <c r="F80" s="126"/>
      <c r="G80" s="126"/>
      <c r="H80" s="169"/>
      <c r="I80" s="126"/>
      <c r="J80" s="169"/>
      <c r="K80" s="125"/>
      <c r="L80" s="169"/>
      <c r="M80" s="168"/>
    </row>
    <row r="81" spans="2:13" ht="39.75">
      <c r="B81" s="115"/>
      <c r="D81" s="130" t="s">
        <v>7</v>
      </c>
      <c r="E81" s="130"/>
      <c r="F81" s="130" t="s">
        <v>8</v>
      </c>
      <c r="G81" s="130"/>
      <c r="H81" s="130" t="s">
        <v>9</v>
      </c>
      <c r="I81" s="130"/>
      <c r="J81" s="130" t="s">
        <v>10</v>
      </c>
      <c r="L81" s="25"/>
      <c r="M81" s="24"/>
    </row>
    <row r="82" spans="2:13" ht="3" customHeight="1">
      <c r="B82" s="115"/>
      <c r="L82" s="25"/>
      <c r="M82" s="24"/>
    </row>
    <row r="83" spans="2:13" ht="15" customHeight="1">
      <c r="B83" s="115"/>
      <c r="C83" s="28" t="s">
        <v>48</v>
      </c>
      <c r="D83" s="15"/>
      <c r="E83" s="25"/>
      <c r="F83" s="16"/>
      <c r="G83" s="25"/>
      <c r="H83" s="17"/>
      <c r="I83" s="25"/>
      <c r="J83" s="166" t="str">
        <f>IFERROR(INT(-PMT((IF(H83+3%&lt;7.25%,7.25%,H83+3%))/12,F83,D83,0)+1),"")</f>
        <v/>
      </c>
      <c r="K83" s="25"/>
      <c r="L83" s="25"/>
      <c r="M83" s="24"/>
    </row>
    <row r="84" spans="2:13" ht="3" customHeight="1">
      <c r="B84" s="115"/>
      <c r="D84" s="25"/>
      <c r="F84" s="132"/>
      <c r="H84" s="133"/>
      <c r="J84" s="25"/>
      <c r="L84" s="25"/>
      <c r="M84" s="24"/>
    </row>
    <row r="85" spans="2:13" ht="15" customHeight="1">
      <c r="B85" s="115"/>
      <c r="C85" s="28" t="s">
        <v>49</v>
      </c>
      <c r="D85" s="15"/>
      <c r="E85" s="25"/>
      <c r="F85" s="16"/>
      <c r="G85" s="25"/>
      <c r="H85" s="17"/>
      <c r="I85" s="25"/>
      <c r="J85" s="166" t="str">
        <f>IFERROR(INT(-PMT((IF(H85+3%&lt;7.25%,7.25%,H85+3%))/12,F85,D85,0)+1),"")</f>
        <v/>
      </c>
      <c r="K85" s="25"/>
      <c r="L85" s="25"/>
      <c r="M85" s="24"/>
    </row>
    <row r="86" spans="2:13" ht="3" customHeight="1">
      <c r="B86" s="115"/>
      <c r="D86" s="25"/>
      <c r="F86" s="132"/>
      <c r="H86" s="133"/>
      <c r="J86" s="25"/>
      <c r="L86" s="25"/>
      <c r="M86" s="24"/>
    </row>
    <row r="87" spans="2:13" ht="15" customHeight="1">
      <c r="B87" s="115"/>
      <c r="C87" s="28" t="s">
        <v>50</v>
      </c>
      <c r="D87" s="15"/>
      <c r="E87" s="25"/>
      <c r="F87" s="16"/>
      <c r="G87" s="25"/>
      <c r="H87" s="17"/>
      <c r="I87" s="25"/>
      <c r="J87" s="166" t="str">
        <f>IFERROR(INT(-PMT((IF(H87+3%&lt;7.25%,7.25%,H87+3%))/12,F87,D87,0)+1),"")</f>
        <v/>
      </c>
      <c r="K87" s="25"/>
      <c r="L87" s="25"/>
      <c r="M87" s="24"/>
    </row>
    <row r="88" spans="2:13" ht="3" customHeight="1">
      <c r="B88" s="115"/>
      <c r="D88" s="25"/>
      <c r="F88" s="132"/>
      <c r="H88" s="133"/>
      <c r="J88" s="25"/>
      <c r="L88" s="25"/>
      <c r="M88" s="24"/>
    </row>
    <row r="89" spans="2:13" ht="15" customHeight="1">
      <c r="B89" s="115"/>
      <c r="C89" s="28" t="s">
        <v>51</v>
      </c>
      <c r="D89" s="15"/>
      <c r="E89" s="25"/>
      <c r="F89" s="16"/>
      <c r="G89" s="25"/>
      <c r="H89" s="17"/>
      <c r="I89" s="25"/>
      <c r="J89" s="166" t="str">
        <f>IFERROR(INT(-PMT((IF(H89+3%&lt;7.25%,7.25%,H89+3%))/12,F89,D89,0)+1),"")</f>
        <v/>
      </c>
      <c r="K89" s="25"/>
      <c r="L89" s="25"/>
      <c r="M89" s="24"/>
    </row>
    <row r="90" spans="2:13" ht="3" customHeight="1">
      <c r="B90" s="115"/>
      <c r="D90" s="25"/>
      <c r="F90" s="132"/>
      <c r="H90" s="133"/>
      <c r="J90" s="25"/>
      <c r="L90" s="25"/>
      <c r="M90" s="24"/>
    </row>
    <row r="91" spans="2:13" ht="15" customHeight="1">
      <c r="B91" s="115"/>
      <c r="C91" s="28" t="s">
        <v>52</v>
      </c>
      <c r="D91" s="15"/>
      <c r="F91" s="16"/>
      <c r="H91" s="17"/>
      <c r="J91" s="15"/>
      <c r="L91" s="25"/>
      <c r="M91" s="24"/>
    </row>
    <row r="92" spans="2:13" ht="3" customHeight="1">
      <c r="B92" s="115"/>
      <c r="D92" s="25"/>
      <c r="F92" s="132"/>
      <c r="H92" s="133"/>
      <c r="J92" s="25"/>
      <c r="L92" s="25"/>
      <c r="M92" s="24"/>
    </row>
    <row r="93" spans="2:13" ht="15" customHeight="1">
      <c r="B93" s="115"/>
      <c r="C93" s="28" t="s">
        <v>53</v>
      </c>
      <c r="D93" s="15"/>
      <c r="E93" s="25"/>
      <c r="F93" s="16"/>
      <c r="G93" s="25"/>
      <c r="H93" s="17"/>
      <c r="I93" s="25"/>
      <c r="J93" s="15"/>
      <c r="K93" s="25"/>
      <c r="L93" s="25"/>
      <c r="M93" s="24"/>
    </row>
    <row r="94" spans="2:13" ht="3" customHeight="1">
      <c r="B94" s="115"/>
      <c r="D94" s="25"/>
      <c r="J94" s="25"/>
      <c r="L94" s="25"/>
      <c r="M94" s="24"/>
    </row>
    <row r="95" spans="2:13" ht="15" customHeight="1">
      <c r="B95" s="115"/>
      <c r="C95" s="28" t="s">
        <v>54</v>
      </c>
      <c r="D95" s="15"/>
      <c r="F95" s="133"/>
      <c r="H95" s="133"/>
      <c r="J95" s="131">
        <f>D95*0.0382</f>
        <v>0</v>
      </c>
      <c r="L95" s="25"/>
      <c r="M95" s="24"/>
    </row>
    <row r="96" spans="2:13" ht="3" customHeight="1">
      <c r="B96" s="115"/>
      <c r="D96" s="25"/>
      <c r="F96" s="133"/>
      <c r="H96" s="133"/>
      <c r="J96" s="144"/>
      <c r="L96" s="25"/>
      <c r="M96" s="24"/>
    </row>
    <row r="97" spans="2:15" ht="15" customHeight="1">
      <c r="B97" s="115"/>
      <c r="C97" s="28" t="s">
        <v>55</v>
      </c>
      <c r="D97" s="15"/>
      <c r="F97" s="133"/>
      <c r="H97" s="133"/>
      <c r="J97" s="131">
        <f>D97*0.0382</f>
        <v>0</v>
      </c>
      <c r="L97" s="25"/>
      <c r="M97" s="24"/>
    </row>
    <row r="98" spans="2:15" ht="3" customHeight="1">
      <c r="B98" s="115"/>
      <c r="D98" s="25"/>
      <c r="J98" s="25"/>
      <c r="L98" s="25"/>
      <c r="M98" s="24"/>
    </row>
    <row r="99" spans="2:15" ht="15" customHeight="1">
      <c r="B99" s="115"/>
      <c r="C99" s="28" t="s">
        <v>56</v>
      </c>
      <c r="D99" s="15"/>
      <c r="F99" s="43"/>
      <c r="J99" s="15"/>
      <c r="L99" s="25"/>
      <c r="M99" s="24"/>
      <c r="O99" s="25"/>
    </row>
    <row r="100" spans="2:15" ht="3" customHeight="1">
      <c r="B100" s="115"/>
      <c r="D100" s="25"/>
      <c r="J100" s="25"/>
      <c r="L100" s="25"/>
      <c r="M100" s="24"/>
    </row>
    <row r="101" spans="2:15" ht="15" customHeight="1">
      <c r="B101" s="115"/>
      <c r="C101" s="28" t="s">
        <v>57</v>
      </c>
      <c r="D101" s="15"/>
      <c r="F101" s="133"/>
      <c r="H101" s="133"/>
      <c r="J101" s="15"/>
      <c r="L101" s="25"/>
      <c r="M101" s="24"/>
    </row>
    <row r="102" spans="2:15" ht="3" customHeight="1">
      <c r="B102" s="115"/>
      <c r="D102" s="25"/>
      <c r="J102" s="25"/>
      <c r="L102" s="25"/>
      <c r="M102" s="24"/>
    </row>
    <row r="103" spans="2:15" ht="15" customHeight="1">
      <c r="B103" s="115"/>
      <c r="C103" s="28" t="s">
        <v>58</v>
      </c>
      <c r="D103" s="15"/>
      <c r="E103" s="133"/>
      <c r="F103" s="133" t="str">
        <f>IF(F95="","",IF(F95&lt;5.05%,5.05%,F95+3%))</f>
        <v/>
      </c>
      <c r="G103" s="133"/>
      <c r="H103" s="133" t="str">
        <f>IF(H95="","",IF(H95&lt;5.05%,5.05%,H95+3%))</f>
        <v/>
      </c>
      <c r="I103" s="133"/>
      <c r="J103" s="131">
        <f>D103*0.0382</f>
        <v>0</v>
      </c>
      <c r="K103" s="133"/>
      <c r="L103" s="25"/>
      <c r="M103" s="24"/>
    </row>
    <row r="104" spans="2:15" ht="3" customHeight="1">
      <c r="B104" s="115"/>
      <c r="J104" s="25"/>
      <c r="L104" s="25"/>
      <c r="M104" s="24"/>
    </row>
    <row r="105" spans="2:15" ht="15" customHeight="1">
      <c r="B105" s="115"/>
      <c r="C105" s="28" t="s">
        <v>59</v>
      </c>
      <c r="D105" s="133"/>
      <c r="J105" s="15"/>
      <c r="L105" s="141"/>
      <c r="M105" s="24"/>
      <c r="O105" s="153"/>
    </row>
    <row r="106" spans="2:15" ht="3" customHeight="1">
      <c r="B106" s="115"/>
      <c r="J106" s="25"/>
      <c r="L106" s="25"/>
      <c r="M106" s="24"/>
    </row>
    <row r="107" spans="2:15" ht="15" customHeight="1">
      <c r="B107" s="115"/>
      <c r="C107" s="142" t="s">
        <v>60</v>
      </c>
      <c r="D107" s="25"/>
      <c r="E107" s="25"/>
      <c r="F107" s="25"/>
      <c r="G107" s="25"/>
      <c r="H107" s="25"/>
      <c r="I107" s="25"/>
      <c r="J107" s="134">
        <f>SUM(J83,J85,J87,J89,J91,J93,J95,J97,J99,J101,J103,J105)</f>
        <v>0</v>
      </c>
      <c r="K107" s="25"/>
      <c r="L107" s="141">
        <f>J107*12</f>
        <v>0</v>
      </c>
      <c r="M107" s="24"/>
    </row>
    <row r="108" spans="2:15" ht="9.9499999999999993" customHeight="1">
      <c r="B108" s="115"/>
      <c r="M108" s="24"/>
    </row>
    <row r="109" spans="2:15" ht="15">
      <c r="B109" s="115"/>
      <c r="C109" s="116" t="s">
        <v>61</v>
      </c>
      <c r="D109" s="136"/>
      <c r="E109" s="136"/>
      <c r="F109" s="136"/>
      <c r="G109" s="136"/>
      <c r="H109" s="136"/>
      <c r="I109" s="136"/>
      <c r="J109" s="136"/>
      <c r="K109" s="136"/>
      <c r="L109" s="136"/>
      <c r="M109" s="24"/>
    </row>
    <row r="110" spans="2:15" ht="9.9499999999999993" customHeight="1">
      <c r="B110" s="115"/>
      <c r="M110" s="24"/>
    </row>
    <row r="111" spans="2:15" ht="3" customHeight="1">
      <c r="B111" s="115"/>
      <c r="C111" s="170"/>
      <c r="F111" s="171"/>
      <c r="G111" s="171"/>
      <c r="H111" s="171"/>
      <c r="M111" s="24"/>
    </row>
    <row r="112" spans="2:15" s="28" customFormat="1">
      <c r="B112" s="172"/>
      <c r="C112" s="170" t="s">
        <v>62</v>
      </c>
      <c r="D112" s="62"/>
      <c r="F112" s="173" t="s">
        <v>62</v>
      </c>
      <c r="G112" s="173"/>
      <c r="H112" s="173"/>
      <c r="I112" s="174"/>
      <c r="J112" s="174"/>
      <c r="K112" s="174"/>
      <c r="L112" s="23"/>
      <c r="M112" s="175"/>
    </row>
    <row r="113" spans="2:16" s="28" customFormat="1" ht="3" customHeight="1">
      <c r="B113" s="172"/>
      <c r="C113" s="170"/>
      <c r="D113" s="130"/>
      <c r="F113" s="173"/>
      <c r="G113" s="173"/>
      <c r="H113" s="173"/>
      <c r="I113" s="174"/>
      <c r="J113" s="174"/>
      <c r="K113" s="174"/>
      <c r="M113" s="175"/>
    </row>
    <row r="114" spans="2:16" s="28" customFormat="1">
      <c r="B114" s="172"/>
      <c r="C114" s="170" t="s">
        <v>63</v>
      </c>
      <c r="D114" s="62"/>
      <c r="F114" s="176" t="s">
        <v>64</v>
      </c>
      <c r="G114" s="173"/>
      <c r="H114" s="173"/>
      <c r="I114" s="174"/>
      <c r="J114" s="174"/>
      <c r="K114" s="174"/>
      <c r="M114" s="175"/>
    </row>
    <row r="115" spans="2:16" ht="3" customHeight="1">
      <c r="B115" s="115"/>
      <c r="C115" s="170"/>
      <c r="F115" s="176"/>
      <c r="G115" s="176"/>
      <c r="H115" s="176"/>
      <c r="I115" s="162"/>
      <c r="J115" s="162"/>
      <c r="K115" s="162"/>
      <c r="M115" s="24"/>
    </row>
    <row r="116" spans="2:16" ht="15" customHeight="1">
      <c r="B116" s="115"/>
      <c r="C116" s="170" t="s">
        <v>65</v>
      </c>
      <c r="D116" s="110"/>
      <c r="F116" s="176" t="s">
        <v>65</v>
      </c>
      <c r="G116" s="176"/>
      <c r="H116" s="176"/>
      <c r="I116" s="162"/>
      <c r="J116" s="141"/>
      <c r="K116" s="162"/>
      <c r="M116" s="24"/>
    </row>
    <row r="117" spans="2:16" ht="3" customHeight="1">
      <c r="B117" s="115"/>
      <c r="C117" s="170"/>
      <c r="D117" s="153"/>
      <c r="F117" s="176"/>
      <c r="G117" s="177"/>
      <c r="H117" s="177"/>
      <c r="I117" s="162"/>
      <c r="J117" s="141"/>
      <c r="K117" s="162"/>
      <c r="M117" s="24"/>
    </row>
    <row r="118" spans="2:16" ht="15" customHeight="1">
      <c r="B118" s="115"/>
      <c r="C118" s="170" t="s">
        <v>66</v>
      </c>
      <c r="D118" s="110"/>
      <c r="F118" s="176" t="s">
        <v>66</v>
      </c>
      <c r="G118" s="177"/>
      <c r="H118" s="177"/>
      <c r="I118" s="162"/>
      <c r="J118" s="190"/>
      <c r="K118" s="162"/>
      <c r="M118" s="24"/>
    </row>
    <row r="119" spans="2:16" ht="3" customHeight="1">
      <c r="B119" s="115"/>
      <c r="C119" s="170"/>
      <c r="D119" s="153"/>
      <c r="F119" s="176"/>
      <c r="G119" s="177"/>
      <c r="H119" s="177"/>
      <c r="I119" s="162"/>
      <c r="J119" s="141"/>
      <c r="K119" s="162"/>
      <c r="M119" s="24"/>
    </row>
    <row r="120" spans="2:16" ht="15" customHeight="1">
      <c r="B120" s="115"/>
      <c r="C120" s="170" t="s">
        <v>67</v>
      </c>
      <c r="D120" s="138" t="str">
        <f>IFERROR(INDEX(Variables!J13:X34,MATCH('Loan Serviceability Calculator'!D112&amp;'Loan Serviceability Calculator'!D114,Variables!I13:I34,0),MATCH('Loan Serviceability Calculator'!O51,Variables!J35:X35,0))*(365.25/7)/12,"")</f>
        <v/>
      </c>
      <c r="F120" s="176" t="s">
        <v>68</v>
      </c>
      <c r="G120" s="177"/>
      <c r="H120" s="178" t="str">
        <f>IFERROR(INDEX(Variables!J13:X34,MATCH('Loan Serviceability Calculator'!D119&amp;'Loan Serviceability Calculator'!D121,Variables!I13:I34,0),MATCH('Loan Serviceability Calculator'!O58,Variables!J35:X35,0)),"")</f>
        <v/>
      </c>
      <c r="I120" s="162"/>
      <c r="J120" s="194" t="e">
        <f>INDEX(Variables!J13:X34,MATCH('Loan Serviceability Calculator'!D112&amp;'Loan Serviceability Calculator'!D114,Variables!I13:I34,0),MATCH('Loan Serviceability Calculator'!O51,Variables!J35:X35,0))</f>
        <v>#N/A</v>
      </c>
      <c r="K120" s="162"/>
      <c r="M120" s="24"/>
    </row>
    <row r="121" spans="2:16" ht="3" customHeight="1">
      <c r="B121" s="115"/>
      <c r="C121" s="170"/>
      <c r="D121" s="144"/>
      <c r="F121" s="176"/>
      <c r="G121" s="177"/>
      <c r="H121" s="177"/>
      <c r="I121" s="162"/>
      <c r="J121" s="141"/>
      <c r="K121" s="162"/>
      <c r="M121" s="24"/>
    </row>
    <row r="122" spans="2:16" ht="15" customHeight="1">
      <c r="B122" s="115"/>
      <c r="C122" s="170" t="s">
        <v>69</v>
      </c>
      <c r="D122" s="138">
        <f>IF(D116&lt;D120,D120,D116)</f>
        <v>0</v>
      </c>
      <c r="F122" s="176" t="s">
        <v>69</v>
      </c>
      <c r="G122" s="177"/>
      <c r="H122" s="177"/>
      <c r="I122" s="162"/>
      <c r="J122" s="162" t="s">
        <v>35</v>
      </c>
      <c r="K122" s="162"/>
      <c r="M122" s="24"/>
    </row>
    <row r="123" spans="2:16" ht="3" customHeight="1">
      <c r="B123" s="115"/>
      <c r="C123" s="170"/>
      <c r="D123" s="144"/>
      <c r="F123" s="177"/>
      <c r="G123" s="177"/>
      <c r="H123" s="177"/>
      <c r="I123" s="162"/>
      <c r="J123" s="141"/>
      <c r="K123" s="162"/>
      <c r="M123" s="24"/>
    </row>
    <row r="124" spans="2:16" ht="15" customHeight="1">
      <c r="B124" s="115"/>
      <c r="C124" s="179" t="s">
        <v>70</v>
      </c>
      <c r="D124" s="131">
        <f>IFERROR(SUM(D122,D118),"")</f>
        <v>0</v>
      </c>
      <c r="F124" s="177" t="s">
        <v>70</v>
      </c>
      <c r="G124" s="177"/>
      <c r="H124" s="177"/>
      <c r="I124" s="162"/>
      <c r="J124" s="141">
        <f>IFERROR(SUM(J122,J118),"")</f>
        <v>0</v>
      </c>
      <c r="K124" s="162"/>
      <c r="M124" s="24"/>
      <c r="P124" s="153"/>
    </row>
    <row r="125" spans="2:16" ht="9.9499999999999993" customHeight="1">
      <c r="B125" s="115"/>
      <c r="M125" s="24"/>
    </row>
    <row r="126" spans="2:16" ht="15">
      <c r="B126" s="115"/>
      <c r="C126" s="116" t="s">
        <v>71</v>
      </c>
      <c r="D126" s="136"/>
      <c r="E126" s="136"/>
      <c r="F126" s="136"/>
      <c r="G126" s="136"/>
      <c r="H126" s="136"/>
      <c r="I126" s="136"/>
      <c r="J126" s="136"/>
      <c r="K126" s="136"/>
      <c r="L126" s="136"/>
      <c r="M126" s="24"/>
    </row>
    <row r="127" spans="2:16" ht="9.9499999999999993" customHeight="1">
      <c r="B127" s="115"/>
      <c r="M127" s="24"/>
    </row>
    <row r="128" spans="2:16" ht="15" customHeight="1">
      <c r="B128" s="115"/>
      <c r="C128" s="28" t="s">
        <v>72</v>
      </c>
      <c r="D128" s="138">
        <f>SUM(D51,F51,H51,J51,L49,(L77/0.8))</f>
        <v>0</v>
      </c>
      <c r="F128" s="23" t="s">
        <v>73</v>
      </c>
      <c r="J128" s="138">
        <f>D130-D136</f>
        <v>0</v>
      </c>
      <c r="L128" s="28"/>
      <c r="M128" s="24"/>
    </row>
    <row r="129" spans="2:13" ht="3" customHeight="1">
      <c r="B129" s="115"/>
      <c r="D129" s="144"/>
      <c r="L129" s="28"/>
      <c r="M129" s="24"/>
    </row>
    <row r="130" spans="2:13">
      <c r="B130" s="115"/>
      <c r="C130" s="28" t="s">
        <v>34</v>
      </c>
      <c r="D130" s="138">
        <f>SUM(D53,F53,H53,J53,L77)</f>
        <v>0</v>
      </c>
      <c r="F130" s="23" t="s">
        <v>74</v>
      </c>
      <c r="J130" s="180" t="str">
        <f>IF(OR(L130="Select Household Type",L130="Select Number of Dependents"),"Error",J128/D134)</f>
        <v>Error</v>
      </c>
      <c r="L130" s="181" t="str">
        <f>IFERROR(IF(D112="","Select Household Type",IF(D114="","Select Number of Dependents",IF(J128/D134&gt;=1,"PASS", IF(J128/D134&lt;1,"REFER - Outside Serviceability Guidelines")))),"")</f>
        <v>Select Household Type</v>
      </c>
      <c r="M130" s="24"/>
    </row>
    <row r="131" spans="2:13" ht="3" customHeight="1">
      <c r="B131" s="115"/>
      <c r="D131" s="144"/>
      <c r="J131" s="182"/>
      <c r="L131" s="181"/>
      <c r="M131" s="24"/>
    </row>
    <row r="132" spans="2:13">
      <c r="B132" s="115"/>
      <c r="C132" s="28" t="s">
        <v>75</v>
      </c>
      <c r="D132" s="138">
        <f>SUM(D24,D83,D85,D87,D89,D91,D93,D95,D97,D99,D101,D103)</f>
        <v>0</v>
      </c>
      <c r="F132" s="23" t="s">
        <v>76</v>
      </c>
      <c r="J132" s="180" t="str">
        <f>IF(OR(L130="Select Household Type",L130="Select Number of Dependents"),"Error",IF(J128="","",((J128-D134)/12)))</f>
        <v>Error</v>
      </c>
      <c r="L132" s="181" t="str">
        <f>IFERROR(IF(D112="","Select Household Type",IF(D114="","Select Number of Dependents",IF(D16="","",IF(J132&gt;=40,"PASS",IF(J132&lt;40,"REFER - Outside Serviceability Guidelines"))))),"")</f>
        <v>Select Household Type</v>
      </c>
      <c r="M132" s="24"/>
    </row>
    <row r="133" spans="2:13" ht="3" customHeight="1">
      <c r="B133" s="115"/>
      <c r="D133" s="144"/>
      <c r="J133" s="182"/>
      <c r="L133" s="181"/>
      <c r="M133" s="24"/>
    </row>
    <row r="134" spans="2:13">
      <c r="B134" s="115"/>
      <c r="C134" s="28" t="s">
        <v>77</v>
      </c>
      <c r="D134" s="138">
        <f>SUM((J24*12),L107)</f>
        <v>0</v>
      </c>
      <c r="F134" s="23" t="s">
        <v>78</v>
      </c>
      <c r="J134" s="180" t="str">
        <f>IF(OR(L130="Select Household Type",L130="Select Number of Dependents"),"Error",D132/D128)</f>
        <v>Error</v>
      </c>
      <c r="L134" s="181" t="str">
        <f>IF(D112="","Select Household Type",IF(D114="","Select Number of Dependents",IF(J134="","",IF(J134&lt;=7,"PASS",IF(J134&gt;7,"REFER - Outside Serviceability Guidelines")))))</f>
        <v>Select Household Type</v>
      </c>
      <c r="M134" s="24"/>
    </row>
    <row r="135" spans="2:13" ht="3" customHeight="1">
      <c r="B135" s="115"/>
      <c r="D135" s="144"/>
      <c r="J135" s="183"/>
      <c r="L135" s="184"/>
      <c r="M135" s="24"/>
    </row>
    <row r="136" spans="2:13">
      <c r="B136" s="115"/>
      <c r="C136" s="28" t="s">
        <v>79</v>
      </c>
      <c r="D136" s="138">
        <f>SUM(D124,J124)*12</f>
        <v>0</v>
      </c>
      <c r="F136" s="28"/>
      <c r="G136" s="28"/>
      <c r="H136" s="28"/>
      <c r="I136" s="28"/>
      <c r="J136" s="28"/>
      <c r="K136" s="28"/>
      <c r="L136" s="28"/>
      <c r="M136" s="24"/>
    </row>
    <row r="137" spans="2:13" ht="3" customHeight="1">
      <c r="B137" s="115"/>
      <c r="D137" s="144"/>
      <c r="M137" s="24"/>
    </row>
    <row r="138" spans="2:13" ht="9.9499999999999993" customHeight="1">
      <c r="B138" s="115"/>
      <c r="M138" s="24"/>
    </row>
    <row r="139" spans="2:13" ht="15">
      <c r="B139" s="115"/>
      <c r="C139" s="116"/>
      <c r="D139" s="136"/>
      <c r="E139" s="136"/>
      <c r="F139" s="136"/>
      <c r="G139" s="136"/>
      <c r="H139" s="136"/>
      <c r="I139" s="136"/>
      <c r="J139" s="136"/>
      <c r="K139" s="136"/>
      <c r="L139" s="136"/>
      <c r="M139" s="24"/>
    </row>
    <row r="140" spans="2:13" ht="14.25" customHeight="1">
      <c r="B140" s="115"/>
      <c r="C140" s="204" t="s">
        <v>80</v>
      </c>
      <c r="D140" s="205"/>
      <c r="E140" s="205"/>
      <c r="F140" s="205"/>
      <c r="G140" s="205"/>
      <c r="H140" s="205"/>
      <c r="I140" s="205"/>
      <c r="J140" s="205"/>
      <c r="K140" s="205"/>
      <c r="L140" s="206"/>
      <c r="M140" s="24"/>
    </row>
    <row r="141" spans="2:13">
      <c r="B141" s="115"/>
      <c r="C141" s="207"/>
      <c r="D141" s="208"/>
      <c r="E141" s="208"/>
      <c r="F141" s="208"/>
      <c r="G141" s="208"/>
      <c r="H141" s="208"/>
      <c r="I141" s="208"/>
      <c r="J141" s="208"/>
      <c r="K141" s="208"/>
      <c r="L141" s="209"/>
      <c r="M141" s="24"/>
    </row>
    <row r="142" spans="2:13">
      <c r="B142" s="115"/>
      <c r="C142" s="207"/>
      <c r="D142" s="208"/>
      <c r="E142" s="208"/>
      <c r="F142" s="208"/>
      <c r="G142" s="208"/>
      <c r="H142" s="208"/>
      <c r="I142" s="208"/>
      <c r="J142" s="208"/>
      <c r="K142" s="208"/>
      <c r="L142" s="209"/>
      <c r="M142" s="24"/>
    </row>
    <row r="143" spans="2:13">
      <c r="B143" s="115"/>
      <c r="C143" s="210"/>
      <c r="D143" s="211"/>
      <c r="E143" s="211"/>
      <c r="F143" s="211"/>
      <c r="G143" s="211"/>
      <c r="H143" s="211"/>
      <c r="I143" s="211"/>
      <c r="J143" s="211"/>
      <c r="K143" s="211"/>
      <c r="L143" s="212"/>
      <c r="M143" s="24"/>
    </row>
    <row r="144" spans="2:13" ht="5.0999999999999996" customHeight="1">
      <c r="B144" s="185"/>
      <c r="C144" s="186"/>
      <c r="D144" s="187"/>
      <c r="E144" s="187"/>
      <c r="F144" s="187"/>
      <c r="G144" s="187"/>
      <c r="H144" s="187"/>
      <c r="I144" s="187"/>
      <c r="J144" s="187"/>
      <c r="K144" s="187"/>
      <c r="L144" s="187"/>
      <c r="M144" s="188"/>
    </row>
    <row r="145" spans="3:4" ht="5.0999999999999996" customHeight="1"/>
    <row r="146" spans="3:4" ht="5.0999999999999996" customHeight="1"/>
    <row r="147" spans="3:4" ht="15">
      <c r="C147" s="46"/>
      <c r="D147" s="22"/>
    </row>
  </sheetData>
  <sheetProtection algorithmName="SHA-512" hashValue="XDWoV4uAEMWG4QP9n+tHIIDxv7cYfDmlQAax7nz1T6Fc3hfJIE0V9lU23ViHrLDhdlVHR5f9VFzDefs08T+4Ww==" saltValue="o+u5rlKTrGBxdYTx0Sd3aA==" spinCount="100000" sheet="1" selectLockedCells="1"/>
  <mergeCells count="12">
    <mergeCell ref="C140:L143"/>
    <mergeCell ref="D63:F63"/>
    <mergeCell ref="D65:F65"/>
    <mergeCell ref="C3:L4"/>
    <mergeCell ref="D57:F57"/>
    <mergeCell ref="D59:F59"/>
    <mergeCell ref="D61:F61"/>
    <mergeCell ref="D29:F29"/>
    <mergeCell ref="D31:F31"/>
    <mergeCell ref="D33:F33"/>
    <mergeCell ref="D35:F35"/>
    <mergeCell ref="D28:F28"/>
  </mergeCells>
  <conditionalFormatting sqref="J130">
    <cfRule type="containsText" dxfId="5" priority="14" operator="containsText" text="Error">
      <formula>NOT(ISERROR(SEARCH("Error",J130)))</formula>
    </cfRule>
  </conditionalFormatting>
  <conditionalFormatting sqref="J132">
    <cfRule type="containsText" dxfId="4" priority="12" operator="containsText" text="Error">
      <formula>NOT(ISERROR(SEARCH("Error",J132)))</formula>
    </cfRule>
  </conditionalFormatting>
  <conditionalFormatting sqref="J134">
    <cfRule type="containsText" dxfId="3" priority="10" operator="containsText" text="Error">
      <formula>NOT(ISERROR(SEARCH("Error",J134)))</formula>
    </cfRule>
  </conditionalFormatting>
  <conditionalFormatting sqref="L130:L134">
    <cfRule type="containsText" dxfId="2" priority="16" operator="containsText" text="Select">
      <formula>NOT(ISERROR(SEARCH("Select",L130)))</formula>
    </cfRule>
    <cfRule type="containsText" dxfId="1" priority="23" operator="containsText" text="REFER - Outside Serviceability Guidelines">
      <formula>NOT(ISERROR(SEARCH("REFER - Outside Serviceability Guidelines",L130)))</formula>
    </cfRule>
    <cfRule type="containsText" dxfId="0" priority="24" operator="containsText" text="PASS">
      <formula>NOT(ISERROR(SEARCH("PASS",L130)))</formula>
    </cfRule>
  </conditionalFormatting>
  <dataValidations count="1">
    <dataValidation type="list" allowBlank="1" showInputMessage="1" showErrorMessage="1" sqref="J113:L113 D113" xr:uid="{2109D89D-B53A-4538-98D0-1E1BA2D8F0AB}">
      <formula1>#REF!</formula1>
    </dataValidation>
  </dataValidations>
  <pageMargins left="0.25" right="0.25" top="0.75" bottom="0.75" header="0.3" footer="0.3"/>
  <pageSetup paperSize="9" scale="35" orientation="portrait" r:id="rId1"/>
  <ignoredErrors>
    <ignoredError sqref="J120:J121" evalError="1"/>
  </ignoredErrors>
  <drawing r:id="rId2"/>
  <extLst>
    <ext xmlns:x14="http://schemas.microsoft.com/office/spreadsheetml/2009/9/main" uri="{78C0D931-6437-407d-A8EE-F0AAD7539E65}">
      <x14:conditionalFormattings>
        <x14:conditionalFormatting xmlns:xm="http://schemas.microsoft.com/office/excel/2006/main">
          <x14:cfRule type="iconSet" priority="31" id="{79FBD705-4286-4528-9672-C58FD1572208}">
            <x14:iconSet iconSet="3Symbols" custom="1">
              <x14:cfvo type="percent">
                <xm:f>0</xm:f>
              </x14:cfvo>
              <x14:cfvo type="num" gte="0">
                <xm:f>0.99</xm:f>
              </x14:cfvo>
              <x14:cfvo type="num">
                <xm:f>1</xm:f>
              </x14:cfvo>
              <x14:cfIcon iconSet="3Symbols" iconId="0"/>
              <x14:cfIcon iconSet="3Symbols" iconId="0"/>
              <x14:cfIcon iconSet="3Symbols" iconId="2"/>
            </x14:iconSet>
          </x14:cfRule>
          <xm:sqref>J130</xm:sqref>
        </x14:conditionalFormatting>
        <x14:conditionalFormatting xmlns:xm="http://schemas.microsoft.com/office/excel/2006/main">
          <x14:cfRule type="iconSet" priority="13" id="{68DB4013-7CDC-4198-B521-9CE100F46ECA}">
            <x14:iconSet iconSet="3Symbols" custom="1">
              <x14:cfvo type="percent">
                <xm:f>0</xm:f>
              </x14:cfvo>
              <x14:cfvo type="num" gte="0">
                <xm:f>0.99</xm:f>
              </x14:cfvo>
              <x14:cfvo type="num">
                <xm:f>1</xm:f>
              </x14:cfvo>
              <x14:cfIcon iconSet="3Symbols" iconId="0"/>
              <x14:cfIcon iconSet="3Symbols" iconId="0"/>
              <x14:cfIcon iconSet="3Symbols" iconId="2"/>
            </x14:iconSet>
          </x14:cfRule>
          <xm:sqref>J132</xm:sqref>
        </x14:conditionalFormatting>
        <x14:conditionalFormatting xmlns:xm="http://schemas.microsoft.com/office/excel/2006/main">
          <x14:cfRule type="iconSet" priority="11" id="{395E9416-9363-4AC7-9D7D-EEE2005B1E9E}">
            <x14:iconSet iconSet="3Symbols" custom="1">
              <x14:cfvo type="percent">
                <xm:f>0</xm:f>
              </x14:cfvo>
              <x14:cfvo type="num" gte="0">
                <xm:f>7</xm:f>
              </x14:cfvo>
              <x14:cfvo type="num" gte="0">
                <xm:f>7</xm:f>
              </x14:cfvo>
              <x14:cfIcon iconSet="3Symbols" iconId="2"/>
              <x14:cfIcon iconSet="3Symbols" iconId="2"/>
              <x14:cfIcon iconSet="3Symbols" iconId="0"/>
            </x14:iconSet>
          </x14:cfRule>
          <xm:sqref>J134</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40ACAD70-4ED5-4393-A93A-283CA3A25DFC}">
          <x14:formula1>
            <xm:f>Variables!$J$8:$O$8</xm:f>
          </x14:formula1>
          <xm:sqref>K114</xm:sqref>
        </x14:dataValidation>
        <x14:dataValidation type="list" allowBlank="1" showInputMessage="1" showErrorMessage="1" xr:uid="{69164F74-ACFF-4211-8231-746C137C95F9}">
          <x14:formula1>
            <xm:f>Variables!$I$9:$I$11</xm:f>
          </x14:formula1>
          <xm:sqref>K112</xm:sqref>
        </x14:dataValidation>
        <x14:dataValidation type="list" allowBlank="1" showInputMessage="1" showErrorMessage="1" xr:uid="{63324BBB-7BFC-4B0F-9654-77C0C6016E55}">
          <x14:formula1>
            <xm:f>Variables!$J$8:$T$8</xm:f>
          </x14:formula1>
          <xm:sqref>J114</xm:sqref>
        </x14:dataValidation>
        <x14:dataValidation type="list" allowBlank="1" showInputMessage="1" showErrorMessage="1" xr:uid="{878ADB81-D2DA-46A3-9583-D9FF3E9129F9}">
          <x14:formula1>
            <xm:f>Variables!$B$9:$B$11</xm:f>
          </x14:formula1>
          <xm:sqref>H59 H61 H63 H65:H66</xm:sqref>
        </x14:dataValidation>
        <x14:dataValidation type="list" allowBlank="1" showInputMessage="1" showErrorMessage="1" xr:uid="{4D2FE5C9-B095-48CA-8A06-1553BDEF704A}">
          <x14:formula1>
            <xm:f>Variables!$I$10:$I$11</xm:f>
          </x14:formula1>
          <xm:sqref>J112</xm:sqref>
        </x14:dataValidation>
        <x14:dataValidation type="list" allowBlank="1" showInputMessage="1" showErrorMessage="1" xr:uid="{9E64A6DD-D0DB-478D-9940-3228913344F4}">
          <x14:formula1>
            <xm:f>Variables!$B$16:$B$18</xm:f>
          </x14:formula1>
          <xm:sqref>L27</xm:sqref>
        </x14:dataValidation>
        <x14:dataValidation type="list" allowBlank="1" showInputMessage="1" showErrorMessage="1" xr:uid="{BFD0918A-D494-4511-95E5-0CAA005AD093}">
          <x14:formula1>
            <xm:f>Variables!$I$45:$I$55</xm:f>
          </x14:formula1>
          <xm:sqref>D114</xm:sqref>
        </x14:dataValidation>
        <x14:dataValidation type="list" allowBlank="1" showInputMessage="1" showErrorMessage="1" xr:uid="{A780AE84-36F5-4138-AE5F-E6D11ACDBED3}">
          <x14:formula1>
            <xm:f>Variables!$I$41:$I$42</xm:f>
          </x14:formula1>
          <xm:sqref>D112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8E700-754E-4A83-92AE-50D502AA3DF7}">
  <sheetPr codeName="Sheet4"/>
  <dimension ref="B2:V41"/>
  <sheetViews>
    <sheetView showGridLines="0" zoomScale="85" zoomScaleNormal="85" workbookViewId="0">
      <selection activeCell="I52" sqref="I52"/>
    </sheetView>
  </sheetViews>
  <sheetFormatPr defaultColWidth="8.7109375" defaultRowHeight="15"/>
  <cols>
    <col min="1" max="1" width="3.5703125" customWidth="1"/>
    <col min="2" max="2" width="1.7109375" customWidth="1"/>
    <col min="3" max="3" width="7.28515625" customWidth="1"/>
    <col min="4" max="4" width="45.7109375" customWidth="1"/>
    <col min="5" max="5" width="15.5703125" customWidth="1"/>
    <col min="7" max="7" width="2.7109375" customWidth="1"/>
    <col min="9" max="9" width="45.7109375" customWidth="1"/>
    <col min="10" max="10" width="13.85546875" bestFit="1" customWidth="1"/>
    <col min="12" max="12" width="2.7109375" customWidth="1"/>
    <col min="14" max="14" width="45.7109375" customWidth="1"/>
    <col min="15" max="15" width="13.5703125" bestFit="1" customWidth="1"/>
    <col min="17" max="17" width="2.7109375" customWidth="1"/>
    <col min="19" max="19" width="45.7109375" customWidth="1"/>
    <col min="20" max="20" width="13.5703125" bestFit="1" customWidth="1"/>
    <col min="22" max="22" width="1.7109375" customWidth="1"/>
  </cols>
  <sheetData>
    <row r="2" spans="2:22" ht="5.0999999999999996" customHeight="1">
      <c r="B2" s="65"/>
      <c r="C2" s="66"/>
      <c r="D2" s="66"/>
      <c r="E2" s="66"/>
      <c r="F2" s="66"/>
      <c r="G2" s="66"/>
      <c r="H2" s="66"/>
      <c r="I2" s="66"/>
      <c r="J2" s="66"/>
      <c r="K2" s="66"/>
      <c r="L2" s="66"/>
      <c r="M2" s="66"/>
      <c r="N2" s="66"/>
      <c r="O2" s="66"/>
      <c r="P2" s="66"/>
      <c r="Q2" s="66"/>
      <c r="R2" s="66"/>
      <c r="S2" s="66"/>
      <c r="T2" s="66"/>
      <c r="U2" s="66"/>
      <c r="V2" s="67"/>
    </row>
    <row r="3" spans="2:22" ht="33" customHeight="1">
      <c r="B3" s="68"/>
      <c r="C3" s="222" t="s">
        <v>81</v>
      </c>
      <c r="D3" s="222"/>
      <c r="E3" s="222"/>
      <c r="F3" s="222"/>
      <c r="G3" s="222"/>
      <c r="H3" s="222"/>
      <c r="I3" s="222"/>
      <c r="J3" s="222"/>
      <c r="K3" s="222"/>
      <c r="L3" s="222"/>
      <c r="M3" s="222"/>
      <c r="N3" s="222"/>
      <c r="O3" s="222"/>
      <c r="P3" s="222"/>
      <c r="Q3" s="222"/>
      <c r="R3" s="222"/>
      <c r="S3" s="222"/>
      <c r="T3" s="222"/>
      <c r="U3" s="222"/>
      <c r="V3" s="69"/>
    </row>
    <row r="4" spans="2:22" ht="15" customHeight="1">
      <c r="B4" s="68"/>
      <c r="C4" s="222"/>
      <c r="D4" s="222"/>
      <c r="E4" s="222"/>
      <c r="F4" s="222"/>
      <c r="G4" s="222"/>
      <c r="H4" s="222"/>
      <c r="I4" s="222"/>
      <c r="J4" s="222"/>
      <c r="K4" s="222"/>
      <c r="L4" s="222"/>
      <c r="M4" s="222"/>
      <c r="N4" s="222"/>
      <c r="O4" s="222"/>
      <c r="P4" s="222"/>
      <c r="Q4" s="222"/>
      <c r="R4" s="222"/>
      <c r="S4" s="222"/>
      <c r="T4" s="222"/>
      <c r="U4" s="222"/>
      <c r="V4" s="69"/>
    </row>
    <row r="5" spans="2:22" ht="15" customHeight="1">
      <c r="B5" s="68"/>
      <c r="D5" s="70"/>
      <c r="E5" s="70"/>
      <c r="F5" s="70"/>
      <c r="V5" s="69"/>
    </row>
    <row r="6" spans="2:22">
      <c r="B6" s="68"/>
      <c r="C6" s="219" t="s">
        <v>82</v>
      </c>
      <c r="D6" s="220"/>
      <c r="E6" s="220"/>
      <c r="F6" s="221"/>
      <c r="H6" s="219" t="s">
        <v>83</v>
      </c>
      <c r="I6" s="220"/>
      <c r="J6" s="220"/>
      <c r="K6" s="221"/>
      <c r="M6" s="219" t="s">
        <v>84</v>
      </c>
      <c r="N6" s="220"/>
      <c r="O6" s="220"/>
      <c r="P6" s="221"/>
      <c r="R6" s="219" t="s">
        <v>85</v>
      </c>
      <c r="S6" s="220"/>
      <c r="T6" s="220"/>
      <c r="U6" s="221"/>
      <c r="V6" s="69"/>
    </row>
    <row r="7" spans="2:22" ht="15" customHeight="1">
      <c r="B7" s="68"/>
      <c r="C7" s="68"/>
      <c r="D7" s="28"/>
      <c r="E7" s="23"/>
      <c r="F7" s="24"/>
      <c r="H7" s="68"/>
      <c r="I7" s="28"/>
      <c r="J7" s="23"/>
      <c r="K7" s="24"/>
      <c r="M7" s="68"/>
      <c r="N7" s="28"/>
      <c r="O7" s="23"/>
      <c r="P7" s="24"/>
      <c r="R7" s="68"/>
      <c r="S7" s="28"/>
      <c r="T7" s="23"/>
      <c r="U7" s="24"/>
      <c r="V7" s="69"/>
    </row>
    <row r="8" spans="2:22">
      <c r="B8" s="68"/>
      <c r="C8" s="68"/>
      <c r="D8" s="71" t="s">
        <v>28</v>
      </c>
      <c r="E8" s="63"/>
      <c r="F8" s="72"/>
      <c r="H8" s="68"/>
      <c r="I8" s="71" t="s">
        <v>28</v>
      </c>
      <c r="J8" s="63"/>
      <c r="K8" s="72"/>
      <c r="M8" s="68"/>
      <c r="N8" s="71" t="s">
        <v>28</v>
      </c>
      <c r="O8" s="63"/>
      <c r="P8" s="72"/>
      <c r="R8" s="68"/>
      <c r="S8" s="71" t="s">
        <v>28</v>
      </c>
      <c r="T8" s="63"/>
      <c r="U8" s="72"/>
      <c r="V8" s="69"/>
    </row>
    <row r="9" spans="2:22">
      <c r="B9" s="68"/>
      <c r="C9" s="68"/>
      <c r="D9" s="73"/>
      <c r="E9" s="27"/>
      <c r="F9" s="72"/>
      <c r="H9" s="68"/>
      <c r="I9" s="73"/>
      <c r="J9" s="27"/>
      <c r="K9" s="72"/>
      <c r="M9" s="68"/>
      <c r="N9" s="73"/>
      <c r="O9" s="27"/>
      <c r="P9" s="72"/>
      <c r="R9" s="68"/>
      <c r="S9" s="73"/>
      <c r="T9" s="27"/>
      <c r="U9" s="72"/>
      <c r="V9" s="69"/>
    </row>
    <row r="10" spans="2:22">
      <c r="B10" s="68"/>
      <c r="C10" s="68"/>
      <c r="D10" s="71" t="s">
        <v>86</v>
      </c>
      <c r="E10" s="63"/>
      <c r="F10" s="24"/>
      <c r="H10" s="68"/>
      <c r="I10" s="71" t="s">
        <v>86</v>
      </c>
      <c r="J10" s="63"/>
      <c r="K10" s="24"/>
      <c r="M10" s="68"/>
      <c r="N10" s="71" t="s">
        <v>86</v>
      </c>
      <c r="O10" s="63"/>
      <c r="P10" s="24"/>
      <c r="R10" s="68"/>
      <c r="S10" s="71" t="s">
        <v>86</v>
      </c>
      <c r="T10" s="63"/>
      <c r="U10" s="24"/>
      <c r="V10" s="69"/>
    </row>
    <row r="11" spans="2:22">
      <c r="B11" s="68"/>
      <c r="C11" s="68"/>
      <c r="D11" s="71"/>
      <c r="E11" s="23"/>
      <c r="F11" s="24"/>
      <c r="H11" s="68"/>
      <c r="I11" s="71"/>
      <c r="J11" s="23"/>
      <c r="K11" s="24"/>
      <c r="M11" s="68"/>
      <c r="N11" s="71"/>
      <c r="O11" s="23"/>
      <c r="P11" s="24"/>
      <c r="R11" s="68"/>
      <c r="S11" s="71"/>
      <c r="T11" s="23"/>
      <c r="U11" s="24"/>
      <c r="V11" s="69"/>
    </row>
    <row r="12" spans="2:22">
      <c r="B12" s="68"/>
      <c r="C12" s="68"/>
      <c r="D12" s="71" t="s">
        <v>87</v>
      </c>
      <c r="E12" s="63"/>
      <c r="F12" s="24"/>
      <c r="H12" s="68"/>
      <c r="I12" s="71" t="s">
        <v>87</v>
      </c>
      <c r="J12" s="63"/>
      <c r="K12" s="24"/>
      <c r="M12" s="68"/>
      <c r="N12" s="71" t="s">
        <v>87</v>
      </c>
      <c r="O12" s="63"/>
      <c r="P12" s="24"/>
      <c r="R12" s="68"/>
      <c r="S12" s="71" t="s">
        <v>87</v>
      </c>
      <c r="T12" s="63"/>
      <c r="U12" s="24"/>
      <c r="V12" s="69"/>
    </row>
    <row r="13" spans="2:22">
      <c r="B13" s="68"/>
      <c r="C13" s="68"/>
      <c r="D13" s="71"/>
      <c r="E13" s="23"/>
      <c r="F13" s="24"/>
      <c r="H13" s="68"/>
      <c r="I13" s="71"/>
      <c r="J13" s="23"/>
      <c r="K13" s="24"/>
      <c r="M13" s="68"/>
      <c r="N13" s="71"/>
      <c r="O13" s="23"/>
      <c r="P13" s="24"/>
      <c r="R13" s="68"/>
      <c r="S13" s="71"/>
      <c r="T13" s="23"/>
      <c r="U13" s="24"/>
      <c r="V13" s="69"/>
    </row>
    <row r="14" spans="2:22">
      <c r="B14" s="68"/>
      <c r="C14" s="68"/>
      <c r="D14" t="s">
        <v>88</v>
      </c>
      <c r="E14" s="26">
        <f>E10-E12</f>
        <v>0</v>
      </c>
      <c r="F14" s="24"/>
      <c r="H14" s="68"/>
      <c r="I14" t="s">
        <v>88</v>
      </c>
      <c r="J14" s="26">
        <f>J10-J12</f>
        <v>0</v>
      </c>
      <c r="K14" s="24"/>
      <c r="M14" s="68"/>
      <c r="N14" t="s">
        <v>88</v>
      </c>
      <c r="O14" s="26">
        <f>O10-O12</f>
        <v>0</v>
      </c>
      <c r="P14" s="24"/>
      <c r="R14" s="68"/>
      <c r="S14" t="s">
        <v>88</v>
      </c>
      <c r="T14" s="26">
        <f>T10-T12</f>
        <v>0</v>
      </c>
      <c r="U14" s="24"/>
      <c r="V14" s="69"/>
    </row>
    <row r="15" spans="2:22">
      <c r="B15" s="68"/>
      <c r="C15" s="68"/>
      <c r="D15" s="71"/>
      <c r="E15" s="23"/>
      <c r="F15" s="24"/>
      <c r="H15" s="68"/>
      <c r="I15" s="71"/>
      <c r="J15" s="23"/>
      <c r="K15" s="24"/>
      <c r="M15" s="68"/>
      <c r="N15" s="71"/>
      <c r="O15" s="23"/>
      <c r="P15" s="24"/>
      <c r="R15" s="68"/>
      <c r="S15" s="71"/>
      <c r="T15" s="23"/>
      <c r="U15" s="24"/>
      <c r="V15" s="69"/>
    </row>
    <row r="16" spans="2:22">
      <c r="B16" s="68"/>
      <c r="C16" s="68"/>
      <c r="D16" s="71" t="s">
        <v>89</v>
      </c>
      <c r="E16" s="189">
        <v>45839</v>
      </c>
      <c r="F16" s="24"/>
      <c r="H16" s="68"/>
      <c r="I16" s="71" t="s">
        <v>89</v>
      </c>
      <c r="J16" s="189">
        <v>45839</v>
      </c>
      <c r="K16" s="24"/>
      <c r="M16" s="68"/>
      <c r="N16" s="71" t="s">
        <v>89</v>
      </c>
      <c r="O16" s="189">
        <v>45839</v>
      </c>
      <c r="P16" s="24"/>
      <c r="R16" s="68"/>
      <c r="S16" s="71" t="s">
        <v>89</v>
      </c>
      <c r="T16" s="189">
        <v>45839</v>
      </c>
      <c r="U16" s="24"/>
      <c r="V16" s="69"/>
    </row>
    <row r="17" spans="2:22">
      <c r="B17" s="68"/>
      <c r="C17" s="68"/>
      <c r="D17" s="71"/>
      <c r="E17" s="23"/>
      <c r="F17" s="24"/>
      <c r="H17" s="68"/>
      <c r="I17" s="71"/>
      <c r="J17" s="23"/>
      <c r="K17" s="24"/>
      <c r="M17" s="68"/>
      <c r="N17" s="71"/>
      <c r="O17" s="23"/>
      <c r="P17" s="24"/>
      <c r="R17" s="68"/>
      <c r="S17" s="71"/>
      <c r="T17" s="23"/>
      <c r="U17" s="24"/>
      <c r="V17" s="69"/>
    </row>
    <row r="18" spans="2:22">
      <c r="B18" s="68"/>
      <c r="C18" s="68"/>
      <c r="D18" s="71" t="s">
        <v>90</v>
      </c>
      <c r="E18" s="189"/>
      <c r="F18" s="24"/>
      <c r="H18" s="68"/>
      <c r="I18" s="71" t="s">
        <v>90</v>
      </c>
      <c r="J18" s="189"/>
      <c r="K18" s="24"/>
      <c r="M18" s="68"/>
      <c r="N18" s="71" t="s">
        <v>90</v>
      </c>
      <c r="O18" s="189"/>
      <c r="P18" s="24"/>
      <c r="R18" s="68"/>
      <c r="S18" s="71" t="s">
        <v>90</v>
      </c>
      <c r="T18" s="189"/>
      <c r="U18" s="24"/>
      <c r="V18" s="69"/>
    </row>
    <row r="19" spans="2:22">
      <c r="B19" s="68"/>
      <c r="C19" s="68"/>
      <c r="D19" s="71"/>
      <c r="E19" s="23"/>
      <c r="F19" s="24"/>
      <c r="H19" s="68"/>
      <c r="I19" s="71"/>
      <c r="J19" s="23"/>
      <c r="K19" s="24"/>
      <c r="M19" s="68"/>
      <c r="N19" s="71"/>
      <c r="O19" s="23"/>
      <c r="P19" s="24"/>
      <c r="R19" s="68"/>
      <c r="S19" s="71"/>
      <c r="T19" s="23"/>
      <c r="U19" s="24"/>
      <c r="V19" s="69"/>
    </row>
    <row r="20" spans="2:22">
      <c r="B20" s="68"/>
      <c r="C20" s="68"/>
      <c r="D20" s="71" t="s">
        <v>91</v>
      </c>
      <c r="E20" s="74">
        <f>IF(E16="","",IFERROR(E18-E16,""))</f>
        <v>-45839</v>
      </c>
      <c r="F20" s="24"/>
      <c r="H20" s="68"/>
      <c r="I20" s="71" t="s">
        <v>91</v>
      </c>
      <c r="J20" s="74">
        <f>IF(J16="","",IFERROR(J18-J16,""))</f>
        <v>-45839</v>
      </c>
      <c r="K20" s="24"/>
      <c r="M20" s="68"/>
      <c r="N20" s="71" t="s">
        <v>91</v>
      </c>
      <c r="O20" s="74">
        <f>IF(O16="","",IFERROR(O18-O16,""))</f>
        <v>-45839</v>
      </c>
      <c r="P20" s="24"/>
      <c r="R20" s="68"/>
      <c r="S20" s="71" t="s">
        <v>91</v>
      </c>
      <c r="T20" s="74">
        <f>IF(T16="","",IFERROR(T18-T16,""))</f>
        <v>-45839</v>
      </c>
      <c r="U20" s="24"/>
      <c r="V20" s="69"/>
    </row>
    <row r="21" spans="2:22">
      <c r="B21" s="68"/>
      <c r="C21" s="68"/>
      <c r="D21" s="71"/>
      <c r="E21" s="23"/>
      <c r="F21" s="24"/>
      <c r="H21" s="68"/>
      <c r="I21" s="71"/>
      <c r="J21" s="23"/>
      <c r="K21" s="24"/>
      <c r="M21" s="68"/>
      <c r="N21" s="71"/>
      <c r="O21" s="23"/>
      <c r="P21" s="24"/>
      <c r="R21" s="68"/>
      <c r="S21" s="71"/>
      <c r="T21" s="23"/>
      <c r="U21" s="24"/>
      <c r="V21" s="69"/>
    </row>
    <row r="22" spans="2:22">
      <c r="B22" s="68"/>
      <c r="C22" s="68"/>
      <c r="D22" s="71" t="s">
        <v>92</v>
      </c>
      <c r="E22" s="74">
        <f>IFERROR(E20/7,"")</f>
        <v>-6548.4285714285716</v>
      </c>
      <c r="F22" s="24"/>
      <c r="H22" s="68"/>
      <c r="I22" s="71" t="s">
        <v>92</v>
      </c>
      <c r="J22" s="74">
        <f>IFERROR(J20/7,"")</f>
        <v>-6548.4285714285716</v>
      </c>
      <c r="K22" s="24"/>
      <c r="M22" s="68"/>
      <c r="N22" s="71" t="s">
        <v>92</v>
      </c>
      <c r="O22" s="74">
        <f>IFERROR(O20/7,"")</f>
        <v>-6548.4285714285716</v>
      </c>
      <c r="P22" s="24"/>
      <c r="R22" s="68"/>
      <c r="S22" s="71" t="s">
        <v>92</v>
      </c>
      <c r="T22" s="74">
        <f>IFERROR(T20/7,"")</f>
        <v>-6548.4285714285716</v>
      </c>
      <c r="U22" s="24"/>
      <c r="V22" s="69"/>
    </row>
    <row r="23" spans="2:22">
      <c r="B23" s="68"/>
      <c r="C23" s="68"/>
      <c r="D23" s="71"/>
      <c r="E23" s="23"/>
      <c r="F23" s="24"/>
      <c r="H23" s="68"/>
      <c r="I23" s="71"/>
      <c r="J23" s="23"/>
      <c r="K23" s="24"/>
      <c r="M23" s="68"/>
      <c r="N23" s="71"/>
      <c r="O23" s="23"/>
      <c r="P23" s="24"/>
      <c r="R23" s="68"/>
      <c r="S23" s="71"/>
      <c r="T23" s="23"/>
      <c r="U23" s="24"/>
      <c r="V23" s="69"/>
    </row>
    <row r="24" spans="2:22">
      <c r="B24" s="68"/>
      <c r="C24" s="68"/>
      <c r="D24" s="71" t="s">
        <v>93</v>
      </c>
      <c r="E24" s="26">
        <f>IFERROR(E14/E22,"")</f>
        <v>0</v>
      </c>
      <c r="F24" s="24"/>
      <c r="H24" s="68"/>
      <c r="I24" s="71" t="s">
        <v>93</v>
      </c>
      <c r="J24" s="26">
        <f>IFERROR(J14/J22,"")</f>
        <v>0</v>
      </c>
      <c r="K24" s="24"/>
      <c r="M24" s="68"/>
      <c r="N24" s="71" t="s">
        <v>93</v>
      </c>
      <c r="O24" s="26">
        <f>IFERROR(O14/O22,"")</f>
        <v>0</v>
      </c>
      <c r="P24" s="24"/>
      <c r="R24" s="68"/>
      <c r="S24" s="71" t="s">
        <v>93</v>
      </c>
      <c r="T24" s="26">
        <f>IFERROR(T14/T22,"")</f>
        <v>0</v>
      </c>
      <c r="U24" s="24"/>
      <c r="V24" s="69"/>
    </row>
    <row r="25" spans="2:22">
      <c r="B25" s="68"/>
      <c r="C25" s="68"/>
      <c r="D25" s="71"/>
      <c r="E25" s="23"/>
      <c r="F25" s="24"/>
      <c r="H25" s="68"/>
      <c r="I25" s="71"/>
      <c r="J25" s="23"/>
      <c r="K25" s="24"/>
      <c r="M25" s="68"/>
      <c r="N25" s="71"/>
      <c r="O25" s="23"/>
      <c r="P25" s="24"/>
      <c r="R25" s="68"/>
      <c r="S25" s="71"/>
      <c r="T25" s="23"/>
      <c r="U25" s="24"/>
      <c r="V25" s="69"/>
    </row>
    <row r="26" spans="2:22">
      <c r="B26" s="68"/>
      <c r="C26" s="68"/>
      <c r="D26" s="71" t="s">
        <v>94</v>
      </c>
      <c r="E26" s="26">
        <f>IFERROR(E24*52,"")</f>
        <v>0</v>
      </c>
      <c r="F26" s="24"/>
      <c r="H26" s="68"/>
      <c r="I26" s="71" t="s">
        <v>94</v>
      </c>
      <c r="J26" s="26">
        <f>IFERROR(J24*52,"")</f>
        <v>0</v>
      </c>
      <c r="K26" s="24"/>
      <c r="M26" s="68"/>
      <c r="N26" s="71" t="s">
        <v>94</v>
      </c>
      <c r="O26" s="26">
        <f>IFERROR(O24*52,"")</f>
        <v>0</v>
      </c>
      <c r="P26" s="24"/>
      <c r="R26" s="68"/>
      <c r="S26" s="71" t="s">
        <v>94</v>
      </c>
      <c r="T26" s="26">
        <f>IFERROR(T24*52,"")</f>
        <v>0</v>
      </c>
      <c r="U26" s="24"/>
      <c r="V26" s="69"/>
    </row>
    <row r="27" spans="2:22">
      <c r="B27" s="68"/>
      <c r="C27" s="68"/>
      <c r="D27" s="71"/>
      <c r="E27" s="23"/>
      <c r="F27" s="24"/>
      <c r="H27" s="68"/>
      <c r="I27" s="71"/>
      <c r="J27" s="23"/>
      <c r="K27" s="24"/>
      <c r="M27" s="68"/>
      <c r="N27" s="71"/>
      <c r="O27" s="23"/>
      <c r="P27" s="24"/>
      <c r="R27" s="68"/>
      <c r="S27" s="71"/>
      <c r="T27" s="23"/>
      <c r="U27" s="24"/>
      <c r="V27" s="69"/>
    </row>
    <row r="28" spans="2:22">
      <c r="B28" s="68"/>
      <c r="C28" s="68"/>
      <c r="D28" s="71" t="s">
        <v>95</v>
      </c>
      <c r="E28" s="26">
        <f>IFERROR(E26-E8,"")</f>
        <v>0</v>
      </c>
      <c r="F28" s="24"/>
      <c r="H28" s="68"/>
      <c r="I28" s="71" t="s">
        <v>95</v>
      </c>
      <c r="J28" s="26">
        <f>IFERROR(J26-J8,"")</f>
        <v>0</v>
      </c>
      <c r="K28" s="24"/>
      <c r="M28" s="68"/>
      <c r="N28" s="71" t="s">
        <v>95</v>
      </c>
      <c r="O28" s="26">
        <f>IFERROR(O26-O8,"")</f>
        <v>0</v>
      </c>
      <c r="P28" s="24"/>
      <c r="R28" s="68"/>
      <c r="S28" s="71" t="s">
        <v>95</v>
      </c>
      <c r="T28" s="26">
        <f>IFERROR(T26-T8,"")</f>
        <v>0</v>
      </c>
      <c r="U28" s="24"/>
      <c r="V28" s="69"/>
    </row>
    <row r="29" spans="2:22">
      <c r="B29" s="68"/>
      <c r="C29" s="78"/>
      <c r="D29" s="79"/>
      <c r="E29" s="80"/>
      <c r="F29" s="81"/>
      <c r="H29" s="78"/>
      <c r="I29" s="79"/>
      <c r="J29" s="80"/>
      <c r="K29" s="81"/>
      <c r="M29" s="78"/>
      <c r="N29" s="79"/>
      <c r="O29" s="80"/>
      <c r="P29" s="81"/>
      <c r="R29" s="78"/>
      <c r="S29" s="79"/>
      <c r="T29" s="80"/>
      <c r="U29" s="81"/>
      <c r="V29" s="69"/>
    </row>
    <row r="30" spans="2:22">
      <c r="B30" s="68"/>
      <c r="C30" s="68"/>
      <c r="D30" s="71"/>
      <c r="E30" s="23"/>
      <c r="F30" s="24"/>
      <c r="H30" s="68"/>
      <c r="I30" s="71"/>
      <c r="J30" s="23"/>
      <c r="K30" s="24"/>
      <c r="M30" s="68"/>
      <c r="N30" s="71"/>
      <c r="O30" s="23"/>
      <c r="P30" s="24"/>
      <c r="R30" s="68"/>
      <c r="S30" s="71"/>
      <c r="T30" s="23"/>
      <c r="U30" s="24"/>
      <c r="V30" s="69"/>
    </row>
    <row r="31" spans="2:22">
      <c r="B31" s="68"/>
      <c r="C31" s="68"/>
      <c r="D31" s="71" t="s">
        <v>96</v>
      </c>
      <c r="E31" s="64"/>
      <c r="F31" s="24"/>
      <c r="H31" s="68"/>
      <c r="I31" s="71" t="s">
        <v>96</v>
      </c>
      <c r="J31" s="64"/>
      <c r="K31" s="24"/>
      <c r="M31" s="68"/>
      <c r="N31" s="71" t="s">
        <v>96</v>
      </c>
      <c r="O31" s="64"/>
      <c r="P31" s="24"/>
      <c r="R31" s="68"/>
      <c r="S31" s="71" t="s">
        <v>96</v>
      </c>
      <c r="T31" s="64"/>
      <c r="U31" s="24"/>
      <c r="V31" s="69"/>
    </row>
    <row r="32" spans="2:22">
      <c r="B32" s="68"/>
      <c r="C32" s="68"/>
      <c r="D32" s="71"/>
      <c r="E32" s="23"/>
      <c r="F32" s="24"/>
      <c r="H32" s="68"/>
      <c r="I32" s="71"/>
      <c r="J32" s="23"/>
      <c r="K32" s="24"/>
      <c r="M32" s="68"/>
      <c r="N32" s="71"/>
      <c r="O32" s="23"/>
      <c r="P32" s="24"/>
      <c r="R32" s="68"/>
      <c r="S32" s="71"/>
      <c r="T32" s="23"/>
      <c r="U32" s="24"/>
      <c r="V32" s="69"/>
    </row>
    <row r="33" spans="2:22">
      <c r="B33" s="68"/>
      <c r="C33" s="68"/>
      <c r="D33" s="71" t="s">
        <v>97</v>
      </c>
      <c r="E33" s="26">
        <f>IFERROR(E28*E31,"")</f>
        <v>0</v>
      </c>
      <c r="F33" s="24"/>
      <c r="H33" s="68"/>
      <c r="I33" s="71" t="s">
        <v>97</v>
      </c>
      <c r="J33" s="26">
        <f>IFERROR(J28*J31,"")</f>
        <v>0</v>
      </c>
      <c r="K33" s="24"/>
      <c r="M33" s="68"/>
      <c r="N33" s="71" t="s">
        <v>97</v>
      </c>
      <c r="O33" s="26">
        <f>IFERROR(O28*O31,"")</f>
        <v>0</v>
      </c>
      <c r="P33" s="24"/>
      <c r="R33" s="68"/>
      <c r="S33" s="71" t="s">
        <v>97</v>
      </c>
      <c r="T33" s="26">
        <f>IFERROR(T28*T31,"")</f>
        <v>0</v>
      </c>
      <c r="U33" s="24"/>
      <c r="V33" s="69"/>
    </row>
    <row r="34" spans="2:22">
      <c r="B34" s="68"/>
      <c r="C34" s="68"/>
      <c r="D34" s="71"/>
      <c r="E34" s="25"/>
      <c r="F34" s="24"/>
      <c r="H34" s="68"/>
      <c r="I34" s="71"/>
      <c r="J34" s="25"/>
      <c r="K34" s="24"/>
      <c r="M34" s="68"/>
      <c r="N34" s="71"/>
      <c r="O34" s="25"/>
      <c r="P34" s="24"/>
      <c r="R34" s="68"/>
      <c r="S34" s="71"/>
      <c r="T34" s="25"/>
      <c r="U34" s="24"/>
      <c r="V34" s="69"/>
    </row>
    <row r="35" spans="2:22" ht="26.25">
      <c r="B35" s="68"/>
      <c r="C35" s="68"/>
      <c r="D35" s="71" t="s">
        <v>98</v>
      </c>
      <c r="E35" s="26">
        <f>IFERROR(E8+E33,"")</f>
        <v>0</v>
      </c>
      <c r="F35" s="24"/>
      <c r="H35" s="68"/>
      <c r="I35" s="71" t="s">
        <v>99</v>
      </c>
      <c r="J35" s="26">
        <f>IFERROR(J8+J33,"")</f>
        <v>0</v>
      </c>
      <c r="K35" s="24"/>
      <c r="M35" s="68"/>
      <c r="N35" s="71" t="s">
        <v>99</v>
      </c>
      <c r="O35" s="26">
        <f>IFERROR(O8+O33,"")</f>
        <v>0</v>
      </c>
      <c r="P35" s="24"/>
      <c r="R35" s="68"/>
      <c r="S35" s="71" t="s">
        <v>99</v>
      </c>
      <c r="T35" s="26">
        <f>IFERROR(T8+T33,"")</f>
        <v>0</v>
      </c>
      <c r="U35" s="24"/>
      <c r="V35" s="69"/>
    </row>
    <row r="36" spans="2:22">
      <c r="B36" s="68"/>
      <c r="C36" s="75"/>
      <c r="D36" s="76"/>
      <c r="E36" s="76"/>
      <c r="F36" s="77"/>
      <c r="H36" s="75"/>
      <c r="I36" s="76"/>
      <c r="J36" s="76"/>
      <c r="K36" s="77"/>
      <c r="M36" s="75"/>
      <c r="N36" s="76"/>
      <c r="O36" s="76"/>
      <c r="P36" s="77"/>
      <c r="R36" s="75"/>
      <c r="S36" s="76"/>
      <c r="T36" s="76"/>
      <c r="U36" s="77"/>
      <c r="V36" s="69"/>
    </row>
    <row r="37" spans="2:22" ht="5.0999999999999996" customHeight="1">
      <c r="B37" s="75"/>
      <c r="C37" s="76"/>
      <c r="D37" s="76"/>
      <c r="E37" s="76"/>
      <c r="F37" s="76"/>
      <c r="G37" s="76"/>
      <c r="H37" s="76"/>
      <c r="I37" s="76"/>
      <c r="J37" s="76"/>
      <c r="K37" s="76"/>
      <c r="L37" s="76"/>
      <c r="M37" s="76"/>
      <c r="N37" s="76"/>
      <c r="O37" s="76"/>
      <c r="P37" s="76"/>
      <c r="Q37" s="76"/>
      <c r="R37" s="76"/>
      <c r="S37" s="76"/>
      <c r="T37" s="76"/>
      <c r="U37" s="76"/>
      <c r="V37" s="77"/>
    </row>
    <row r="41" spans="2:22">
      <c r="E41" s="203"/>
    </row>
  </sheetData>
  <sheetProtection algorithmName="SHA-512" hashValue="bBcHvVNAPqNQZijgAQ/AH1uSEdCKiD5BiDZLl5kaWu4DvRTID88O4OHvpVA3It/QLnt3Re9Vw78yn8LvDXOLtQ==" saltValue="e83GEXAk1D/CAcFdrK0/hg==" spinCount="100000" sheet="1" objects="1" scenarios="1"/>
  <mergeCells count="5">
    <mergeCell ref="C6:F6"/>
    <mergeCell ref="H6:K6"/>
    <mergeCell ref="M6:P6"/>
    <mergeCell ref="R6:U6"/>
    <mergeCell ref="C3:U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3CE33-8D1D-460F-82BA-6E559C3A5643}">
  <sheetPr codeName="Sheet3"/>
  <dimension ref="A1:C69"/>
  <sheetViews>
    <sheetView showGridLines="0" zoomScale="78" zoomScaleNormal="78" workbookViewId="0">
      <selection activeCell="B59" sqref="B59"/>
    </sheetView>
  </sheetViews>
  <sheetFormatPr defaultColWidth="8.7109375" defaultRowHeight="15"/>
  <cols>
    <col min="1" max="1" width="39.42578125" style="61" bestFit="1" customWidth="1"/>
    <col min="2" max="2" width="155.7109375" style="46" customWidth="1"/>
  </cols>
  <sheetData>
    <row r="1" spans="1:2" ht="55.5" customHeight="1">
      <c r="A1" s="223" t="s">
        <v>100</v>
      </c>
      <c r="B1" s="224"/>
    </row>
    <row r="2" spans="1:2" ht="3" customHeight="1">
      <c r="A2" s="55"/>
      <c r="B2" s="30"/>
    </row>
    <row r="3" spans="1:2">
      <c r="A3" s="56" t="s">
        <v>0</v>
      </c>
      <c r="B3" s="29"/>
    </row>
    <row r="4" spans="1:2" ht="28.5">
      <c r="A4" s="31" t="s">
        <v>101</v>
      </c>
      <c r="B4" s="31" t="s">
        <v>102</v>
      </c>
    </row>
    <row r="5" spans="1:2" ht="28.5">
      <c r="A5" s="31" t="s">
        <v>103</v>
      </c>
      <c r="B5" s="31" t="s">
        <v>104</v>
      </c>
    </row>
    <row r="6" spans="1:2">
      <c r="A6" s="56" t="s">
        <v>6</v>
      </c>
      <c r="B6" s="29"/>
    </row>
    <row r="7" spans="1:2" ht="28.5">
      <c r="A7" s="31" t="s">
        <v>7</v>
      </c>
      <c r="B7" s="32" t="s">
        <v>105</v>
      </c>
    </row>
    <row r="8" spans="1:2">
      <c r="A8" s="31" t="s">
        <v>106</v>
      </c>
      <c r="B8" s="32" t="s">
        <v>107</v>
      </c>
    </row>
    <row r="9" spans="1:2">
      <c r="A9" s="31" t="s">
        <v>108</v>
      </c>
      <c r="B9" s="32" t="s">
        <v>109</v>
      </c>
    </row>
    <row r="10" spans="1:2">
      <c r="A10" s="31" t="s">
        <v>110</v>
      </c>
      <c r="B10" s="32" t="s">
        <v>111</v>
      </c>
    </row>
    <row r="11" spans="1:2">
      <c r="A11" s="56" t="s">
        <v>17</v>
      </c>
      <c r="B11" s="29"/>
    </row>
    <row r="12" spans="1:2">
      <c r="A12" s="31" t="s">
        <v>18</v>
      </c>
      <c r="B12" s="32" t="s">
        <v>112</v>
      </c>
    </row>
    <row r="13" spans="1:2">
      <c r="A13" s="31" t="s">
        <v>19</v>
      </c>
      <c r="B13" s="31" t="s">
        <v>113</v>
      </c>
    </row>
    <row r="14" spans="1:2">
      <c r="A14" s="31" t="s">
        <v>20</v>
      </c>
      <c r="B14" s="31" t="s">
        <v>114</v>
      </c>
    </row>
    <row r="15" spans="1:2">
      <c r="A15" s="33" t="s">
        <v>26</v>
      </c>
      <c r="B15" s="31" t="s">
        <v>115</v>
      </c>
    </row>
    <row r="16" spans="1:2">
      <c r="A16" s="56" t="s">
        <v>116</v>
      </c>
      <c r="B16" s="29"/>
    </row>
    <row r="17" spans="1:2">
      <c r="A17" s="57" t="s">
        <v>28</v>
      </c>
      <c r="B17" s="34" t="s">
        <v>117</v>
      </c>
    </row>
    <row r="18" spans="1:2" hidden="1">
      <c r="A18" s="35" t="s">
        <v>86</v>
      </c>
      <c r="B18" s="36"/>
    </row>
    <row r="19" spans="1:2" hidden="1">
      <c r="A19" s="35" t="s">
        <v>89</v>
      </c>
      <c r="B19" s="36"/>
    </row>
    <row r="20" spans="1:2" hidden="1">
      <c r="A20" s="35" t="s">
        <v>90</v>
      </c>
      <c r="B20" s="36"/>
    </row>
    <row r="21" spans="1:2" hidden="1">
      <c r="A21" s="35" t="s">
        <v>91</v>
      </c>
      <c r="B21" s="36"/>
    </row>
    <row r="22" spans="1:2" hidden="1">
      <c r="A22" s="35" t="s">
        <v>92</v>
      </c>
      <c r="B22" s="36"/>
    </row>
    <row r="23" spans="1:2" hidden="1">
      <c r="A23" s="35" t="s">
        <v>93</v>
      </c>
      <c r="B23" s="36"/>
    </row>
    <row r="24" spans="1:2" hidden="1">
      <c r="A24" s="35" t="s">
        <v>94</v>
      </c>
      <c r="B24" s="36"/>
    </row>
    <row r="25" spans="1:2" hidden="1">
      <c r="A25" s="35" t="s">
        <v>95</v>
      </c>
      <c r="B25" s="36"/>
    </row>
    <row r="26" spans="1:2" hidden="1">
      <c r="A26" s="35" t="s">
        <v>96</v>
      </c>
      <c r="B26" s="36"/>
    </row>
    <row r="27" spans="1:2" hidden="1">
      <c r="A27" s="35" t="s">
        <v>97</v>
      </c>
      <c r="B27" s="36"/>
    </row>
    <row r="28" spans="1:2" ht="28.5" hidden="1">
      <c r="A28" s="35" t="s">
        <v>118</v>
      </c>
      <c r="B28" s="36"/>
    </row>
    <row r="29" spans="1:2">
      <c r="A29" s="35" t="s">
        <v>119</v>
      </c>
      <c r="B29" s="36" t="s">
        <v>120</v>
      </c>
    </row>
    <row r="30" spans="1:2">
      <c r="A30" s="35" t="s">
        <v>30</v>
      </c>
      <c r="B30" s="36" t="s">
        <v>121</v>
      </c>
    </row>
    <row r="31" spans="1:2">
      <c r="A31" s="35" t="s">
        <v>31</v>
      </c>
      <c r="B31" s="36" t="s">
        <v>122</v>
      </c>
    </row>
    <row r="32" spans="1:2" hidden="1">
      <c r="A32" s="31"/>
      <c r="B32" s="32"/>
    </row>
    <row r="33" spans="1:2" hidden="1">
      <c r="A33" s="31"/>
      <c r="B33" s="32"/>
    </row>
    <row r="34" spans="1:2">
      <c r="A34" s="58" t="s">
        <v>36</v>
      </c>
      <c r="B34" s="37"/>
    </row>
    <row r="35" spans="1:2">
      <c r="A35" s="59" t="s">
        <v>37</v>
      </c>
      <c r="B35" s="38" t="s">
        <v>123</v>
      </c>
    </row>
    <row r="36" spans="1:2">
      <c r="A36" s="59" t="s">
        <v>38</v>
      </c>
      <c r="B36" s="38" t="s">
        <v>124</v>
      </c>
    </row>
    <row r="37" spans="1:2">
      <c r="A37" s="59" t="s">
        <v>39</v>
      </c>
      <c r="B37" s="38" t="s">
        <v>125</v>
      </c>
    </row>
    <row r="38" spans="1:2">
      <c r="A38" s="59" t="s">
        <v>40</v>
      </c>
      <c r="B38" s="38" t="s">
        <v>126</v>
      </c>
    </row>
    <row r="39" spans="1:2" hidden="1">
      <c r="A39" s="58" t="s">
        <v>127</v>
      </c>
      <c r="B39" s="37"/>
    </row>
    <row r="40" spans="1:2" hidden="1">
      <c r="A40" s="31" t="s">
        <v>128</v>
      </c>
      <c r="B40" s="39"/>
    </row>
    <row r="41" spans="1:2" hidden="1">
      <c r="A41" s="31"/>
      <c r="B41" s="39"/>
    </row>
    <row r="42" spans="1:2" hidden="1">
      <c r="A42" s="31"/>
      <c r="B42" s="39"/>
    </row>
    <row r="43" spans="1:2" hidden="1">
      <c r="A43" s="31"/>
      <c r="B43" s="31"/>
    </row>
    <row r="44" spans="1:2" hidden="1">
      <c r="A44" s="31"/>
      <c r="B44" s="31"/>
    </row>
    <row r="45" spans="1:2">
      <c r="A45" s="56" t="s">
        <v>129</v>
      </c>
      <c r="B45" s="29"/>
    </row>
    <row r="46" spans="1:2">
      <c r="A46" s="31" t="s">
        <v>130</v>
      </c>
      <c r="B46" s="39" t="s">
        <v>131</v>
      </c>
    </row>
    <row r="47" spans="1:2" ht="28.5">
      <c r="A47" s="31" t="s">
        <v>7</v>
      </c>
      <c r="B47" s="32" t="s">
        <v>105</v>
      </c>
    </row>
    <row r="48" spans="1:2">
      <c r="A48" s="31" t="s">
        <v>106</v>
      </c>
      <c r="B48" s="32" t="s">
        <v>107</v>
      </c>
    </row>
    <row r="49" spans="1:3">
      <c r="A49" s="31" t="s">
        <v>108</v>
      </c>
      <c r="B49" s="32" t="s">
        <v>109</v>
      </c>
    </row>
    <row r="50" spans="1:3">
      <c r="A50" s="31" t="s">
        <v>110</v>
      </c>
      <c r="B50" s="32" t="s">
        <v>111</v>
      </c>
    </row>
    <row r="51" spans="1:3">
      <c r="A51" s="31" t="s">
        <v>132</v>
      </c>
      <c r="B51" s="31" t="s">
        <v>133</v>
      </c>
    </row>
    <row r="52" spans="1:3">
      <c r="A52" s="31" t="s">
        <v>134</v>
      </c>
      <c r="B52" s="31" t="s">
        <v>135</v>
      </c>
    </row>
    <row r="53" spans="1:3">
      <c r="A53" s="31" t="s">
        <v>136</v>
      </c>
      <c r="B53" s="31" t="s">
        <v>137</v>
      </c>
    </row>
    <row r="54" spans="1:3">
      <c r="A54" s="60" t="s">
        <v>138</v>
      </c>
      <c r="B54" s="31" t="s">
        <v>139</v>
      </c>
    </row>
    <row r="55" spans="1:3" ht="28.5">
      <c r="A55" s="40" t="s">
        <v>140</v>
      </c>
      <c r="B55" s="40" t="s">
        <v>141</v>
      </c>
    </row>
    <row r="56" spans="1:3" ht="28.5">
      <c r="A56" s="225" t="s">
        <v>142</v>
      </c>
      <c r="B56" s="41" t="s">
        <v>143</v>
      </c>
    </row>
    <row r="57" spans="1:3">
      <c r="A57" s="226"/>
      <c r="B57" s="42" t="s">
        <v>144</v>
      </c>
      <c r="C57" s="43"/>
    </row>
    <row r="58" spans="1:3">
      <c r="A58" s="44" t="s">
        <v>59</v>
      </c>
      <c r="B58" s="44" t="s">
        <v>145</v>
      </c>
    </row>
    <row r="59" spans="1:3">
      <c r="A59" s="31" t="s">
        <v>57</v>
      </c>
      <c r="B59" s="31" t="s">
        <v>146</v>
      </c>
    </row>
    <row r="60" spans="1:3">
      <c r="A60" s="56" t="s">
        <v>147</v>
      </c>
      <c r="B60" s="29"/>
    </row>
    <row r="61" spans="1:3" ht="42.75">
      <c r="A61" s="32" t="s">
        <v>148</v>
      </c>
      <c r="B61" s="32" t="s">
        <v>149</v>
      </c>
    </row>
    <row r="62" spans="1:3" ht="42.75">
      <c r="A62" s="32" t="s">
        <v>150</v>
      </c>
      <c r="B62" s="32" t="s">
        <v>151</v>
      </c>
    </row>
    <row r="63" spans="1:3">
      <c r="A63" s="32" t="s">
        <v>152</v>
      </c>
      <c r="B63" s="32" t="s">
        <v>153</v>
      </c>
    </row>
    <row r="64" spans="1:3" ht="28.5">
      <c r="A64" s="32" t="s">
        <v>154</v>
      </c>
      <c r="B64" s="32" t="s">
        <v>155</v>
      </c>
    </row>
    <row r="65" spans="1:2">
      <c r="A65" s="56" t="s">
        <v>71</v>
      </c>
      <c r="B65" s="29"/>
    </row>
    <row r="66" spans="1:2">
      <c r="A66" s="45" t="s">
        <v>156</v>
      </c>
      <c r="B66" s="31" t="s">
        <v>157</v>
      </c>
    </row>
    <row r="67" spans="1:2">
      <c r="A67" s="45" t="s">
        <v>74</v>
      </c>
      <c r="B67" s="31" t="s">
        <v>158</v>
      </c>
    </row>
    <row r="68" spans="1:2" ht="28.5">
      <c r="A68" s="45" t="s">
        <v>76</v>
      </c>
      <c r="B68" s="31" t="s">
        <v>159</v>
      </c>
    </row>
    <row r="69" spans="1:2">
      <c r="A69" s="45" t="s">
        <v>160</v>
      </c>
      <c r="B69" s="31" t="s">
        <v>161</v>
      </c>
    </row>
  </sheetData>
  <sheetProtection algorithmName="SHA-512" hashValue="ZQIJMGAbcAKwMixlRWePbCq07wFFpJRnHON7xbvxzSNiBVmTlABXosHZY2rGYKODQ0lqGsVSiZyMkSCOMzGuyg==" saltValue="N1yE8rYWWJvXy8l2s0Bj0g==" spinCount="100000" sheet="1" objects="1" scenarios="1"/>
  <mergeCells count="2">
    <mergeCell ref="A1:B1"/>
    <mergeCell ref="A56:A57"/>
  </mergeCells>
  <hyperlinks>
    <hyperlink ref="B57" r:id="rId1" location="HELPandTSLrepaymentthresholdsandrates201" xr:uid="{06D0DC3D-A020-4A75-B4DF-6772450A41D9}"/>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035A1-7A6D-43A6-A1C7-32E950D2C423}">
  <sheetPr codeName="Sheet2"/>
  <dimension ref="B1:X57"/>
  <sheetViews>
    <sheetView topLeftCell="F1" zoomScale="87" zoomScaleNormal="87" workbookViewId="0">
      <selection activeCell="M55" sqref="M54:M55"/>
    </sheetView>
  </sheetViews>
  <sheetFormatPr defaultRowHeight="15"/>
  <cols>
    <col min="1" max="1" width="3.7109375" customWidth="1"/>
    <col min="2" max="2" width="30" bestFit="1" customWidth="1"/>
    <col min="3" max="3" width="10.85546875" bestFit="1" customWidth="1"/>
    <col min="4" max="4" width="14.42578125" bestFit="1" customWidth="1"/>
    <col min="5" max="6" width="10.85546875" bestFit="1" customWidth="1"/>
    <col min="9" max="9" width="55.5703125" bestFit="1" customWidth="1"/>
    <col min="10" max="10" width="24.42578125" bestFit="1" customWidth="1"/>
    <col min="11" max="11" width="17.5703125" bestFit="1" customWidth="1"/>
    <col min="12" max="15" width="19" bestFit="1" customWidth="1"/>
    <col min="16" max="16" width="17.7109375" bestFit="1" customWidth="1"/>
    <col min="17" max="23" width="18" bestFit="1" customWidth="1"/>
    <col min="24" max="24" width="18.42578125" bestFit="1" customWidth="1"/>
  </cols>
  <sheetData>
    <row r="1" spans="2:24">
      <c r="B1" s="9" t="s">
        <v>162</v>
      </c>
    </row>
    <row r="2" spans="2:24">
      <c r="B2" s="1" t="s">
        <v>163</v>
      </c>
      <c r="C2" s="2" t="s">
        <v>164</v>
      </c>
      <c r="D2" s="2"/>
      <c r="E2" s="2"/>
      <c r="F2" s="3"/>
      <c r="I2" s="1" t="s">
        <v>165</v>
      </c>
      <c r="J2" s="2"/>
      <c r="K2" s="10">
        <f ca="1">TODAY()</f>
        <v>45979</v>
      </c>
    </row>
    <row r="3" spans="2:24">
      <c r="B3" s="4" t="s">
        <v>166</v>
      </c>
      <c r="C3" t="s">
        <v>167</v>
      </c>
      <c r="D3" t="s">
        <v>167</v>
      </c>
      <c r="E3" t="s">
        <v>167</v>
      </c>
      <c r="F3" s="5" t="s">
        <v>167</v>
      </c>
      <c r="I3" s="4" t="s">
        <v>168</v>
      </c>
      <c r="K3" s="11">
        <f ca="1">EOMONTH(K2,360)</f>
        <v>56948</v>
      </c>
    </row>
    <row r="4" spans="2:24">
      <c r="B4" s="4" t="s">
        <v>169</v>
      </c>
      <c r="C4" t="s">
        <v>2</v>
      </c>
      <c r="D4" t="s">
        <v>1</v>
      </c>
      <c r="E4" t="s">
        <v>1</v>
      </c>
      <c r="F4" s="5" t="s">
        <v>1</v>
      </c>
      <c r="I4" s="6" t="s">
        <v>170</v>
      </c>
      <c r="J4" s="7"/>
      <c r="K4" s="12">
        <f ca="1">DATE(YEAR(K3),MONTH(K3),DAY(K2))</f>
        <v>56936</v>
      </c>
    </row>
    <row r="5" spans="2:24">
      <c r="B5" s="4"/>
      <c r="C5" t="s">
        <v>3</v>
      </c>
      <c r="D5" t="s">
        <v>3</v>
      </c>
      <c r="E5" t="s">
        <v>2</v>
      </c>
      <c r="F5" s="5" t="s">
        <v>2</v>
      </c>
    </row>
    <row r="6" spans="2:24">
      <c r="B6" s="6"/>
      <c r="C6" s="7" t="s">
        <v>4</v>
      </c>
      <c r="D6" s="7" t="s">
        <v>4</v>
      </c>
      <c r="E6" s="7" t="s">
        <v>4</v>
      </c>
      <c r="F6" s="8" t="s">
        <v>3</v>
      </c>
    </row>
    <row r="8" spans="2:24">
      <c r="B8" s="9" t="s">
        <v>38</v>
      </c>
      <c r="I8" s="109" t="s">
        <v>171</v>
      </c>
    </row>
    <row r="9" spans="2:24">
      <c r="B9" s="21" t="s">
        <v>172</v>
      </c>
    </row>
    <row r="10" spans="2:24">
      <c r="B10" s="13" t="s">
        <v>173</v>
      </c>
      <c r="J10" s="82">
        <v>26000</v>
      </c>
      <c r="K10" s="83">
        <v>26000</v>
      </c>
      <c r="L10" s="83">
        <v>39000</v>
      </c>
      <c r="M10" s="83">
        <v>52000</v>
      </c>
      <c r="N10" s="83">
        <v>66000</v>
      </c>
      <c r="O10" s="83">
        <v>79000</v>
      </c>
      <c r="P10" s="83">
        <v>105000</v>
      </c>
      <c r="Q10" s="83">
        <v>131000</v>
      </c>
      <c r="R10" s="83">
        <v>157000</v>
      </c>
      <c r="S10" s="83">
        <v>184000</v>
      </c>
      <c r="T10" s="83">
        <v>210000</v>
      </c>
      <c r="U10" s="83">
        <v>262000</v>
      </c>
      <c r="V10" s="83">
        <v>328000</v>
      </c>
      <c r="W10" s="84">
        <v>394000</v>
      </c>
    </row>
    <row r="11" spans="2:24">
      <c r="B11" s="14" t="s">
        <v>174</v>
      </c>
      <c r="J11" s="85" t="s">
        <v>175</v>
      </c>
      <c r="K11" s="86" t="s">
        <v>176</v>
      </c>
      <c r="L11" s="86" t="s">
        <v>176</v>
      </c>
      <c r="M11" s="86" t="s">
        <v>176</v>
      </c>
      <c r="N11" s="86" t="s">
        <v>176</v>
      </c>
      <c r="O11" s="86" t="s">
        <v>176</v>
      </c>
      <c r="P11" s="86" t="s">
        <v>176</v>
      </c>
      <c r="Q11" s="86" t="s">
        <v>176</v>
      </c>
      <c r="R11" s="86" t="s">
        <v>176</v>
      </c>
      <c r="S11" s="86" t="s">
        <v>176</v>
      </c>
      <c r="T11" s="86" t="s">
        <v>176</v>
      </c>
      <c r="U11" s="86" t="s">
        <v>176</v>
      </c>
      <c r="V11" s="86" t="s">
        <v>176</v>
      </c>
      <c r="W11" s="87" t="s">
        <v>176</v>
      </c>
    </row>
    <row r="12" spans="2:24">
      <c r="J12" s="85"/>
      <c r="K12" s="86">
        <v>39000</v>
      </c>
      <c r="L12" s="86">
        <v>52000</v>
      </c>
      <c r="M12" s="86">
        <v>66000</v>
      </c>
      <c r="N12" s="86">
        <v>79000</v>
      </c>
      <c r="O12" s="86">
        <v>105000</v>
      </c>
      <c r="P12" s="86">
        <v>131000</v>
      </c>
      <c r="Q12" s="86">
        <v>157000</v>
      </c>
      <c r="R12" s="86">
        <v>184000</v>
      </c>
      <c r="S12" s="86">
        <v>210000</v>
      </c>
      <c r="T12" s="86">
        <v>262000</v>
      </c>
      <c r="U12" s="86">
        <v>328000</v>
      </c>
      <c r="V12" s="86">
        <v>394000</v>
      </c>
      <c r="W12" s="87">
        <v>656000</v>
      </c>
    </row>
    <row r="13" spans="2:24">
      <c r="I13" s="1" t="str">
        <f>$I$41&amp;I45</f>
        <v>Couple0</v>
      </c>
      <c r="J13" s="198">
        <v>598.59527296115107</v>
      </c>
      <c r="K13" s="88">
        <v>598.59527296115107</v>
      </c>
      <c r="L13" s="88">
        <v>613.32872098779649</v>
      </c>
      <c r="M13" s="88">
        <v>638.18431144810233</v>
      </c>
      <c r="N13" s="88">
        <v>678.87315014878493</v>
      </c>
      <c r="O13" s="88">
        <v>741.81667604160373</v>
      </c>
      <c r="P13" s="88">
        <v>829.08944485757706</v>
      </c>
      <c r="Q13" s="88">
        <v>903.07293066606462</v>
      </c>
      <c r="R13" s="88">
        <v>985.39916656433468</v>
      </c>
      <c r="S13" s="88">
        <v>1033.7842059931695</v>
      </c>
      <c r="T13" s="88">
        <v>1099.8054338458803</v>
      </c>
      <c r="U13" s="88">
        <v>1216.3258149006804</v>
      </c>
      <c r="V13" s="88">
        <v>1388.6400400406708</v>
      </c>
      <c r="W13" s="88">
        <v>1403.4678593893548</v>
      </c>
      <c r="X13" s="94">
        <f>W13</f>
        <v>1403.4678593893548</v>
      </c>
    </row>
    <row r="14" spans="2:24">
      <c r="B14" s="9" t="s">
        <v>177</v>
      </c>
      <c r="I14" s="4" t="str">
        <f t="shared" ref="I14:I23" si="0">$I$41&amp;$I46</f>
        <v>Couple1</v>
      </c>
      <c r="J14" s="199">
        <v>688.78555155153606</v>
      </c>
      <c r="K14" s="201">
        <v>688.78555155153606</v>
      </c>
      <c r="L14" s="90">
        <v>703.51899957818148</v>
      </c>
      <c r="M14" s="90">
        <v>728.48082038791324</v>
      </c>
      <c r="N14" s="90">
        <v>769.34355930828247</v>
      </c>
      <c r="O14" s="90">
        <v>832.55609813203796</v>
      </c>
      <c r="P14" s="90">
        <v>920.20186214651881</v>
      </c>
      <c r="Q14" s="90">
        <v>994.50154633083537</v>
      </c>
      <c r="R14" s="90">
        <v>1077.1796333128111</v>
      </c>
      <c r="S14" s="90">
        <v>1125.7714689930131</v>
      </c>
      <c r="T14" s="90">
        <v>1192.0748656060207</v>
      </c>
      <c r="U14" s="90">
        <v>1309.0932390215287</v>
      </c>
      <c r="V14" s="90">
        <v>1482.1439182614597</v>
      </c>
      <c r="W14" s="90">
        <v>1497.0351089850494</v>
      </c>
      <c r="X14" s="94">
        <f t="shared" ref="X14:X16" si="1">W14</f>
        <v>1497.0351089850494</v>
      </c>
    </row>
    <row r="15" spans="2:24">
      <c r="B15" s="21" t="s">
        <v>178</v>
      </c>
      <c r="I15" s="4" t="str">
        <f t="shared" si="0"/>
        <v>Couple2</v>
      </c>
      <c r="J15" s="199">
        <v>754.49012260594577</v>
      </c>
      <c r="K15" s="201">
        <v>754.49012260594577</v>
      </c>
      <c r="L15" s="90">
        <v>769.22357063259119</v>
      </c>
      <c r="M15" s="90">
        <v>794.02242935592733</v>
      </c>
      <c r="N15" s="90">
        <v>834.61839960118948</v>
      </c>
      <c r="O15" s="90">
        <v>897.41826001395214</v>
      </c>
      <c r="P15" s="90">
        <v>984.49183384659568</v>
      </c>
      <c r="Q15" s="90">
        <v>1058.3064576088584</v>
      </c>
      <c r="R15" s="90">
        <v>1140.4447887788799</v>
      </c>
      <c r="S15" s="90">
        <v>1188.719394081538</v>
      </c>
      <c r="T15" s="90">
        <v>1254.5899333652314</v>
      </c>
      <c r="U15" s="90">
        <v>1370.8443620638839</v>
      </c>
      <c r="V15" s="90">
        <v>1542.765293290659</v>
      </c>
      <c r="W15" s="90">
        <v>1557.5592675228254</v>
      </c>
      <c r="X15" s="94">
        <f t="shared" si="1"/>
        <v>1557.5592675228254</v>
      </c>
    </row>
    <row r="16" spans="2:24">
      <c r="B16" s="13">
        <v>2</v>
      </c>
      <c r="I16" s="6" t="str">
        <f t="shared" si="0"/>
        <v>Couple3</v>
      </c>
      <c r="J16" s="200">
        <v>820.19469366035548</v>
      </c>
      <c r="K16" s="202">
        <v>820.19469366035548</v>
      </c>
      <c r="L16" s="202">
        <v>834.9281416870009</v>
      </c>
      <c r="M16" s="92">
        <v>858.95471961975863</v>
      </c>
      <c r="N16" s="92">
        <v>899.53594275422711</v>
      </c>
      <c r="O16" s="92">
        <v>962.31299555738872</v>
      </c>
      <c r="P16" s="92">
        <v>1049.3549410704306</v>
      </c>
      <c r="Q16" s="92">
        <v>1123.1427536744909</v>
      </c>
      <c r="R16" s="92">
        <v>1205.2512476862421</v>
      </c>
      <c r="S16" s="92">
        <v>1253.5083181368573</v>
      </c>
      <c r="T16" s="92">
        <v>1319.3549311319284</v>
      </c>
      <c r="U16" s="92">
        <v>1435.5671329422671</v>
      </c>
      <c r="V16" s="92">
        <v>1607.4256140729617</v>
      </c>
      <c r="W16" s="92">
        <v>1622.2142183478081</v>
      </c>
      <c r="X16" s="94">
        <f t="shared" si="1"/>
        <v>1622.2142183478081</v>
      </c>
    </row>
    <row r="17" spans="2:24">
      <c r="B17" s="13">
        <v>3</v>
      </c>
      <c r="I17" t="str">
        <f t="shared" si="0"/>
        <v>Couple4</v>
      </c>
      <c r="J17" s="108">
        <f t="shared" ref="J17:L17" si="2">J16</f>
        <v>820.19469366035548</v>
      </c>
      <c r="K17" s="108">
        <f t="shared" si="2"/>
        <v>820.19469366035548</v>
      </c>
      <c r="L17" s="108">
        <f t="shared" si="2"/>
        <v>834.9281416870009</v>
      </c>
      <c r="M17" s="108">
        <f>M16</f>
        <v>858.95471961975863</v>
      </c>
      <c r="N17" s="108">
        <f t="shared" ref="N17:W17" si="3">N16</f>
        <v>899.53594275422711</v>
      </c>
      <c r="O17" s="108">
        <f t="shared" si="3"/>
        <v>962.31299555738872</v>
      </c>
      <c r="P17" s="108">
        <f t="shared" si="3"/>
        <v>1049.3549410704306</v>
      </c>
      <c r="Q17" s="108">
        <f t="shared" si="3"/>
        <v>1123.1427536744909</v>
      </c>
      <c r="R17" s="108">
        <f t="shared" si="3"/>
        <v>1205.2512476862421</v>
      </c>
      <c r="S17" s="108">
        <f t="shared" si="3"/>
        <v>1253.5083181368573</v>
      </c>
      <c r="T17" s="108">
        <f t="shared" si="3"/>
        <v>1319.3549311319284</v>
      </c>
      <c r="U17" s="108">
        <f t="shared" si="3"/>
        <v>1435.5671329422671</v>
      </c>
      <c r="V17" s="108">
        <f t="shared" si="3"/>
        <v>1607.4256140729617</v>
      </c>
      <c r="W17" s="108">
        <f t="shared" si="3"/>
        <v>1622.2142183478081</v>
      </c>
      <c r="X17" s="94">
        <f>W17</f>
        <v>1622.2142183478081</v>
      </c>
    </row>
    <row r="18" spans="2:24">
      <c r="B18" s="14">
        <v>4</v>
      </c>
      <c r="I18" t="str">
        <f t="shared" si="0"/>
        <v>Couple5</v>
      </c>
      <c r="J18" s="108">
        <f t="shared" ref="J18:J23" si="4">J17</f>
        <v>820.19469366035548</v>
      </c>
      <c r="K18" s="108">
        <f t="shared" ref="K18:K23" si="5">K17</f>
        <v>820.19469366035548</v>
      </c>
      <c r="L18" s="108">
        <f t="shared" ref="L18:L23" si="6">L17</f>
        <v>834.9281416870009</v>
      </c>
      <c r="M18" s="108">
        <f t="shared" ref="M18:M23" si="7">M17</f>
        <v>858.95471961975863</v>
      </c>
      <c r="N18" s="108">
        <f t="shared" ref="N18:N23" si="8">N17</f>
        <v>899.53594275422711</v>
      </c>
      <c r="O18" s="108">
        <f t="shared" ref="O18:O23" si="9">O17</f>
        <v>962.31299555738872</v>
      </c>
      <c r="P18" s="108">
        <f t="shared" ref="P18:P23" si="10">P17</f>
        <v>1049.3549410704306</v>
      </c>
      <c r="Q18" s="108">
        <f t="shared" ref="Q18:Q23" si="11">Q17</f>
        <v>1123.1427536744909</v>
      </c>
      <c r="R18" s="108">
        <f t="shared" ref="R18:R23" si="12">R17</f>
        <v>1205.2512476862421</v>
      </c>
      <c r="S18" s="108">
        <f t="shared" ref="S18:S23" si="13">S17</f>
        <v>1253.5083181368573</v>
      </c>
      <c r="T18" s="108">
        <f t="shared" ref="T18:T23" si="14">T17</f>
        <v>1319.3549311319284</v>
      </c>
      <c r="U18" s="108">
        <f t="shared" ref="U18:U23" si="15">U17</f>
        <v>1435.5671329422671</v>
      </c>
      <c r="V18" s="108">
        <f t="shared" ref="V18:V23" si="16">V17</f>
        <v>1607.4256140729617</v>
      </c>
      <c r="W18" s="108">
        <f t="shared" ref="W18:W23" si="17">W17</f>
        <v>1622.2142183478081</v>
      </c>
      <c r="X18" s="94">
        <f t="shared" ref="X18:X23" si="18">W18</f>
        <v>1622.2142183478081</v>
      </c>
    </row>
    <row r="19" spans="2:24">
      <c r="I19" t="str">
        <f t="shared" si="0"/>
        <v>Couple6</v>
      </c>
      <c r="J19" s="108">
        <f t="shared" si="4"/>
        <v>820.19469366035548</v>
      </c>
      <c r="K19" s="108">
        <f t="shared" si="5"/>
        <v>820.19469366035548</v>
      </c>
      <c r="L19" s="108">
        <f t="shared" si="6"/>
        <v>834.9281416870009</v>
      </c>
      <c r="M19" s="108">
        <f t="shared" si="7"/>
        <v>858.95471961975863</v>
      </c>
      <c r="N19" s="108">
        <f t="shared" si="8"/>
        <v>899.53594275422711</v>
      </c>
      <c r="O19" s="108">
        <f t="shared" si="9"/>
        <v>962.31299555738872</v>
      </c>
      <c r="P19" s="108">
        <f t="shared" si="10"/>
        <v>1049.3549410704306</v>
      </c>
      <c r="Q19" s="108">
        <f t="shared" si="11"/>
        <v>1123.1427536744909</v>
      </c>
      <c r="R19" s="108">
        <f t="shared" si="12"/>
        <v>1205.2512476862421</v>
      </c>
      <c r="S19" s="108">
        <f t="shared" si="13"/>
        <v>1253.5083181368573</v>
      </c>
      <c r="T19" s="108">
        <f t="shared" si="14"/>
        <v>1319.3549311319284</v>
      </c>
      <c r="U19" s="108">
        <f t="shared" si="15"/>
        <v>1435.5671329422671</v>
      </c>
      <c r="V19" s="108">
        <f t="shared" si="16"/>
        <v>1607.4256140729617</v>
      </c>
      <c r="W19" s="108">
        <f t="shared" si="17"/>
        <v>1622.2142183478081</v>
      </c>
      <c r="X19" s="94">
        <f t="shared" si="18"/>
        <v>1622.2142183478081</v>
      </c>
    </row>
    <row r="20" spans="2:24">
      <c r="I20" t="str">
        <f t="shared" si="0"/>
        <v>Couple7</v>
      </c>
      <c r="J20" s="108">
        <f t="shared" si="4"/>
        <v>820.19469366035548</v>
      </c>
      <c r="K20" s="108">
        <f t="shared" si="5"/>
        <v>820.19469366035548</v>
      </c>
      <c r="L20" s="108">
        <f t="shared" si="6"/>
        <v>834.9281416870009</v>
      </c>
      <c r="M20" s="108">
        <f t="shared" si="7"/>
        <v>858.95471961975863</v>
      </c>
      <c r="N20" s="108">
        <f t="shared" si="8"/>
        <v>899.53594275422711</v>
      </c>
      <c r="O20" s="108">
        <f t="shared" si="9"/>
        <v>962.31299555738872</v>
      </c>
      <c r="P20" s="108">
        <f t="shared" si="10"/>
        <v>1049.3549410704306</v>
      </c>
      <c r="Q20" s="108">
        <f t="shared" si="11"/>
        <v>1123.1427536744909</v>
      </c>
      <c r="R20" s="108">
        <f t="shared" si="12"/>
        <v>1205.2512476862421</v>
      </c>
      <c r="S20" s="108">
        <f t="shared" si="13"/>
        <v>1253.5083181368573</v>
      </c>
      <c r="T20" s="108">
        <f t="shared" si="14"/>
        <v>1319.3549311319284</v>
      </c>
      <c r="U20" s="108">
        <f t="shared" si="15"/>
        <v>1435.5671329422671</v>
      </c>
      <c r="V20" s="108">
        <f t="shared" si="16"/>
        <v>1607.4256140729617</v>
      </c>
      <c r="W20" s="108">
        <f t="shared" si="17"/>
        <v>1622.2142183478081</v>
      </c>
      <c r="X20" s="94">
        <f t="shared" si="18"/>
        <v>1622.2142183478081</v>
      </c>
    </row>
    <row r="21" spans="2:24">
      <c r="I21" t="str">
        <f t="shared" si="0"/>
        <v>Couple8</v>
      </c>
      <c r="J21" s="108">
        <f t="shared" si="4"/>
        <v>820.19469366035548</v>
      </c>
      <c r="K21" s="108">
        <f t="shared" si="5"/>
        <v>820.19469366035548</v>
      </c>
      <c r="L21" s="108">
        <f t="shared" si="6"/>
        <v>834.9281416870009</v>
      </c>
      <c r="M21" s="108">
        <f t="shared" si="7"/>
        <v>858.95471961975863</v>
      </c>
      <c r="N21" s="108">
        <f t="shared" si="8"/>
        <v>899.53594275422711</v>
      </c>
      <c r="O21" s="108">
        <f t="shared" si="9"/>
        <v>962.31299555738872</v>
      </c>
      <c r="P21" s="108">
        <f t="shared" si="10"/>
        <v>1049.3549410704306</v>
      </c>
      <c r="Q21" s="108">
        <f t="shared" si="11"/>
        <v>1123.1427536744909</v>
      </c>
      <c r="R21" s="108">
        <f t="shared" si="12"/>
        <v>1205.2512476862421</v>
      </c>
      <c r="S21" s="108">
        <f t="shared" si="13"/>
        <v>1253.5083181368573</v>
      </c>
      <c r="T21" s="108">
        <f t="shared" si="14"/>
        <v>1319.3549311319284</v>
      </c>
      <c r="U21" s="108">
        <f t="shared" si="15"/>
        <v>1435.5671329422671</v>
      </c>
      <c r="V21" s="108">
        <f t="shared" si="16"/>
        <v>1607.4256140729617</v>
      </c>
      <c r="W21" s="108">
        <f t="shared" si="17"/>
        <v>1622.2142183478081</v>
      </c>
      <c r="X21" s="94">
        <f t="shared" si="18"/>
        <v>1622.2142183478081</v>
      </c>
    </row>
    <row r="22" spans="2:24">
      <c r="B22" s="9" t="s">
        <v>179</v>
      </c>
      <c r="I22" t="str">
        <f t="shared" si="0"/>
        <v>Couple9</v>
      </c>
      <c r="J22" s="108">
        <f t="shared" si="4"/>
        <v>820.19469366035548</v>
      </c>
      <c r="K22" s="108">
        <f t="shared" si="5"/>
        <v>820.19469366035548</v>
      </c>
      <c r="L22" s="108">
        <f t="shared" si="6"/>
        <v>834.9281416870009</v>
      </c>
      <c r="M22" s="108">
        <f t="shared" si="7"/>
        <v>858.95471961975863</v>
      </c>
      <c r="N22" s="108">
        <f t="shared" si="8"/>
        <v>899.53594275422711</v>
      </c>
      <c r="O22" s="108">
        <f t="shared" si="9"/>
        <v>962.31299555738872</v>
      </c>
      <c r="P22" s="108">
        <f t="shared" si="10"/>
        <v>1049.3549410704306</v>
      </c>
      <c r="Q22" s="108">
        <f t="shared" si="11"/>
        <v>1123.1427536744909</v>
      </c>
      <c r="R22" s="108">
        <f t="shared" si="12"/>
        <v>1205.2512476862421</v>
      </c>
      <c r="S22" s="108">
        <f t="shared" si="13"/>
        <v>1253.5083181368573</v>
      </c>
      <c r="T22" s="108">
        <f t="shared" si="14"/>
        <v>1319.3549311319284</v>
      </c>
      <c r="U22" s="108">
        <f t="shared" si="15"/>
        <v>1435.5671329422671</v>
      </c>
      <c r="V22" s="108">
        <f t="shared" si="16"/>
        <v>1607.4256140729617</v>
      </c>
      <c r="W22" s="108">
        <f t="shared" si="17"/>
        <v>1622.2142183478081</v>
      </c>
      <c r="X22" s="94">
        <f t="shared" si="18"/>
        <v>1622.2142183478081</v>
      </c>
    </row>
    <row r="23" spans="2:24">
      <c r="B23" s="1" t="s">
        <v>180</v>
      </c>
      <c r="C23" s="2" t="s">
        <v>181</v>
      </c>
      <c r="D23" s="3" t="s">
        <v>182</v>
      </c>
      <c r="I23" t="str">
        <f t="shared" si="0"/>
        <v>Couple10</v>
      </c>
      <c r="J23" s="108">
        <f t="shared" si="4"/>
        <v>820.19469366035548</v>
      </c>
      <c r="K23" s="108">
        <f t="shared" si="5"/>
        <v>820.19469366035548</v>
      </c>
      <c r="L23" s="108">
        <f t="shared" si="6"/>
        <v>834.9281416870009</v>
      </c>
      <c r="M23" s="108">
        <f t="shared" si="7"/>
        <v>858.95471961975863</v>
      </c>
      <c r="N23" s="108">
        <f t="shared" si="8"/>
        <v>899.53594275422711</v>
      </c>
      <c r="O23" s="108">
        <f t="shared" si="9"/>
        <v>962.31299555738872</v>
      </c>
      <c r="P23" s="108">
        <f t="shared" si="10"/>
        <v>1049.3549410704306</v>
      </c>
      <c r="Q23" s="108">
        <f t="shared" si="11"/>
        <v>1123.1427536744909</v>
      </c>
      <c r="R23" s="108">
        <f t="shared" si="12"/>
        <v>1205.2512476862421</v>
      </c>
      <c r="S23" s="108">
        <f t="shared" si="13"/>
        <v>1253.5083181368573</v>
      </c>
      <c r="T23" s="108">
        <f t="shared" si="14"/>
        <v>1319.3549311319284</v>
      </c>
      <c r="U23" s="108">
        <f t="shared" si="15"/>
        <v>1435.5671329422671</v>
      </c>
      <c r="V23" s="108">
        <f t="shared" si="16"/>
        <v>1607.4256140729617</v>
      </c>
      <c r="W23" s="108">
        <f t="shared" si="17"/>
        <v>1622.2142183478081</v>
      </c>
      <c r="X23" s="94">
        <f t="shared" si="18"/>
        <v>1622.2142183478081</v>
      </c>
    </row>
    <row r="24" spans="2:24">
      <c r="B24" s="4">
        <v>1</v>
      </c>
      <c r="C24">
        <v>0</v>
      </c>
      <c r="D24" s="52">
        <v>0</v>
      </c>
      <c r="I24" s="1" t="str">
        <f>$I$42&amp;I45</f>
        <v>Single0</v>
      </c>
      <c r="J24" s="95">
        <v>310.89483099867698</v>
      </c>
      <c r="K24" s="88">
        <v>326.29851272032681</v>
      </c>
      <c r="L24" s="88">
        <v>341.05737465753998</v>
      </c>
      <c r="M24" s="88">
        <v>365.95583930203804</v>
      </c>
      <c r="N24" s="88">
        <v>406.71486302587834</v>
      </c>
      <c r="O24" s="88">
        <v>469.76696118332421</v>
      </c>
      <c r="P24" s="88">
        <v>557.1902680951348</v>
      </c>
      <c r="Q24" s="88">
        <v>631.30136956647016</v>
      </c>
      <c r="R24" s="88">
        <v>713.76961082432354</v>
      </c>
      <c r="S24" s="88">
        <v>762.2381119113943</v>
      </c>
      <c r="T24" s="88">
        <v>828.37322039507455</v>
      </c>
      <c r="U24" s="88">
        <v>945.09458852157081</v>
      </c>
      <c r="V24" s="88">
        <v>1117.706042671394</v>
      </c>
      <c r="W24" s="88">
        <v>1132.5594370594013</v>
      </c>
      <c r="X24" s="89">
        <f>W24</f>
        <v>1132.5594370594013</v>
      </c>
    </row>
    <row r="25" spans="2:24">
      <c r="B25" s="4">
        <v>18201</v>
      </c>
      <c r="C25">
        <v>0.16</v>
      </c>
      <c r="D25" s="52">
        <v>0.16</v>
      </c>
      <c r="I25" s="4" t="str">
        <f t="shared" ref="I25:I34" si="19">$I$42&amp;$I46</f>
        <v>Single1</v>
      </c>
      <c r="J25" s="199">
        <v>409.5053621538014</v>
      </c>
      <c r="K25" s="90">
        <v>424.90904387545123</v>
      </c>
      <c r="L25" s="90">
        <v>439.56989377806684</v>
      </c>
      <c r="M25" s="90">
        <v>464.30300995471811</v>
      </c>
      <c r="N25" s="90">
        <v>504.79135502157334</v>
      </c>
      <c r="O25" s="90">
        <v>567.4247310593064</v>
      </c>
      <c r="P25" s="90">
        <v>654.26746821800543</v>
      </c>
      <c r="Q25" s="90">
        <v>727.88640364020387</v>
      </c>
      <c r="R25" s="90">
        <v>809.80697805257125</v>
      </c>
      <c r="S25" s="90">
        <v>857.95360496121623</v>
      </c>
      <c r="T25" s="90">
        <v>923.6495168639625</v>
      </c>
      <c r="U25" s="90">
        <v>1039.5957500898364</v>
      </c>
      <c r="V25" s="90">
        <v>1211.0609045023018</v>
      </c>
      <c r="W25" s="90">
        <v>1225.815660316078</v>
      </c>
      <c r="X25" s="91">
        <f t="shared" ref="X25:X27" si="20">W25</f>
        <v>1225.815660316078</v>
      </c>
    </row>
    <row r="26" spans="2:24">
      <c r="B26" s="4">
        <v>45001</v>
      </c>
      <c r="C26">
        <v>4288</v>
      </c>
      <c r="D26" s="52">
        <v>0.3</v>
      </c>
      <c r="I26" s="4" t="str">
        <f t="shared" si="19"/>
        <v>Single2</v>
      </c>
      <c r="J26" s="199">
        <v>520.69167872535684</v>
      </c>
      <c r="K26" s="90">
        <v>536.09536044700667</v>
      </c>
      <c r="L26" s="90">
        <v>550.7352363766571</v>
      </c>
      <c r="M26" s="90">
        <v>575.43296870270058</v>
      </c>
      <c r="N26" s="90">
        <v>615.86339003494106</v>
      </c>
      <c r="O26" s="90">
        <v>678.40716288689691</v>
      </c>
      <c r="P26" s="90">
        <v>765.12565953203921</v>
      </c>
      <c r="Q26" s="90">
        <v>838.63927423550297</v>
      </c>
      <c r="R26" s="90">
        <v>920.44265485312951</v>
      </c>
      <c r="S26" s="90">
        <v>968.52039854140628</v>
      </c>
      <c r="T26" s="90">
        <v>1034.1223256102569</v>
      </c>
      <c r="U26" s="90">
        <v>1149.9026862788635</v>
      </c>
      <c r="V26" s="90">
        <v>1321.1225368023856</v>
      </c>
      <c r="W26" s="90">
        <v>1335.8561845832317</v>
      </c>
      <c r="X26" s="91">
        <f t="shared" si="20"/>
        <v>1335.8561845832317</v>
      </c>
    </row>
    <row r="27" spans="2:24">
      <c r="B27" s="4">
        <v>135001</v>
      </c>
      <c r="C27">
        <v>31288</v>
      </c>
      <c r="D27" s="52">
        <v>0.37</v>
      </c>
      <c r="I27" s="6" t="str">
        <f t="shared" si="19"/>
        <v>Single3</v>
      </c>
      <c r="J27" s="200">
        <v>631.87799529691222</v>
      </c>
      <c r="K27" s="202">
        <v>647.28167701856205</v>
      </c>
      <c r="L27" s="92">
        <v>661.9005789752473</v>
      </c>
      <c r="M27" s="92">
        <v>686.56292745068299</v>
      </c>
      <c r="N27" s="92">
        <v>726.93542504830884</v>
      </c>
      <c r="O27" s="92">
        <v>789.38959471448743</v>
      </c>
      <c r="P27" s="92">
        <v>875.98385084607298</v>
      </c>
      <c r="Q27" s="92">
        <v>949.39214483080207</v>
      </c>
      <c r="R27" s="92">
        <v>1031.0783316536877</v>
      </c>
      <c r="S27" s="92">
        <v>1079.0871921215962</v>
      </c>
      <c r="T27" s="92">
        <v>1144.5951343565512</v>
      </c>
      <c r="U27" s="92">
        <v>1260.2096224678905</v>
      </c>
      <c r="V27" s="92">
        <v>1431.1841691024695</v>
      </c>
      <c r="W27" s="92">
        <v>1445.8967088503853</v>
      </c>
      <c r="X27" s="93">
        <f t="shared" si="20"/>
        <v>1445.8967088503853</v>
      </c>
    </row>
    <row r="28" spans="2:24">
      <c r="B28" s="6">
        <v>190001</v>
      </c>
      <c r="C28" s="7">
        <v>51638</v>
      </c>
      <c r="D28" s="53">
        <v>0.45</v>
      </c>
      <c r="I28" t="str">
        <f t="shared" si="19"/>
        <v>Single4</v>
      </c>
      <c r="J28" s="108">
        <f>J27</f>
        <v>631.87799529691222</v>
      </c>
      <c r="K28" s="108">
        <f t="shared" ref="K28" si="21">K27</f>
        <v>647.28167701856205</v>
      </c>
      <c r="L28" s="108">
        <f>L27</f>
        <v>661.9005789752473</v>
      </c>
      <c r="M28" s="108">
        <f>M27</f>
        <v>686.56292745068299</v>
      </c>
      <c r="N28" s="108">
        <f t="shared" ref="N28:W28" si="22">N27</f>
        <v>726.93542504830884</v>
      </c>
      <c r="O28" s="108">
        <f t="shared" si="22"/>
        <v>789.38959471448743</v>
      </c>
      <c r="P28" s="108">
        <f t="shared" si="22"/>
        <v>875.98385084607298</v>
      </c>
      <c r="Q28" s="108">
        <f t="shared" si="22"/>
        <v>949.39214483080207</v>
      </c>
      <c r="R28" s="108">
        <f t="shared" si="22"/>
        <v>1031.0783316536877</v>
      </c>
      <c r="S28" s="108">
        <f t="shared" si="22"/>
        <v>1079.0871921215962</v>
      </c>
      <c r="T28" s="108">
        <f t="shared" si="22"/>
        <v>1144.5951343565512</v>
      </c>
      <c r="U28" s="108">
        <f t="shared" si="22"/>
        <v>1260.2096224678905</v>
      </c>
      <c r="V28" s="108">
        <f t="shared" si="22"/>
        <v>1431.1841691024695</v>
      </c>
      <c r="W28" s="108">
        <f t="shared" si="22"/>
        <v>1445.8967088503853</v>
      </c>
      <c r="X28" s="94">
        <f>W28</f>
        <v>1445.8967088503853</v>
      </c>
    </row>
    <row r="29" spans="2:24">
      <c r="I29" t="str">
        <f t="shared" si="19"/>
        <v>Single5</v>
      </c>
      <c r="J29" s="108">
        <f t="shared" ref="J29:J34" si="23">J28</f>
        <v>631.87799529691222</v>
      </c>
      <c r="K29" s="108">
        <f t="shared" ref="K29:K34" si="24">K28</f>
        <v>647.28167701856205</v>
      </c>
      <c r="L29" s="108">
        <f t="shared" ref="L29:L34" si="25">L28</f>
        <v>661.9005789752473</v>
      </c>
      <c r="M29" s="108">
        <f t="shared" ref="M29:M34" si="26">M28</f>
        <v>686.56292745068299</v>
      </c>
      <c r="N29" s="108">
        <f t="shared" ref="N29:N34" si="27">N28</f>
        <v>726.93542504830884</v>
      </c>
      <c r="O29" s="108">
        <f t="shared" ref="O29:O34" si="28">O28</f>
        <v>789.38959471448743</v>
      </c>
      <c r="P29" s="108">
        <f t="shared" ref="P29:P34" si="29">P28</f>
        <v>875.98385084607298</v>
      </c>
      <c r="Q29" s="108">
        <f t="shared" ref="Q29:Q34" si="30">Q28</f>
        <v>949.39214483080207</v>
      </c>
      <c r="R29" s="108">
        <f t="shared" ref="R29:R34" si="31">R28</f>
        <v>1031.0783316536877</v>
      </c>
      <c r="S29" s="108">
        <f t="shared" ref="S29:S34" si="32">S28</f>
        <v>1079.0871921215962</v>
      </c>
      <c r="T29" s="108">
        <f t="shared" ref="T29:T34" si="33">T28</f>
        <v>1144.5951343565512</v>
      </c>
      <c r="U29" s="108">
        <f t="shared" ref="U29:U34" si="34">U28</f>
        <v>1260.2096224678905</v>
      </c>
      <c r="V29" s="108">
        <f t="shared" ref="V29:V34" si="35">V28</f>
        <v>1431.1841691024695</v>
      </c>
      <c r="W29" s="108">
        <f t="shared" ref="W29:W34" si="36">W28</f>
        <v>1445.8967088503853</v>
      </c>
      <c r="X29" s="94">
        <f t="shared" ref="X29:X34" si="37">W29</f>
        <v>1445.8967088503853</v>
      </c>
    </row>
    <row r="30" spans="2:24">
      <c r="I30" t="str">
        <f t="shared" si="19"/>
        <v>Single6</v>
      </c>
      <c r="J30" s="108">
        <f t="shared" si="23"/>
        <v>631.87799529691222</v>
      </c>
      <c r="K30" s="108">
        <f t="shared" si="24"/>
        <v>647.28167701856205</v>
      </c>
      <c r="L30" s="108">
        <f t="shared" si="25"/>
        <v>661.9005789752473</v>
      </c>
      <c r="M30" s="108">
        <f t="shared" si="26"/>
        <v>686.56292745068299</v>
      </c>
      <c r="N30" s="108">
        <f t="shared" si="27"/>
        <v>726.93542504830884</v>
      </c>
      <c r="O30" s="108">
        <f t="shared" si="28"/>
        <v>789.38959471448743</v>
      </c>
      <c r="P30" s="108">
        <f t="shared" si="29"/>
        <v>875.98385084607298</v>
      </c>
      <c r="Q30" s="108">
        <f t="shared" si="30"/>
        <v>949.39214483080207</v>
      </c>
      <c r="R30" s="108">
        <f t="shared" si="31"/>
        <v>1031.0783316536877</v>
      </c>
      <c r="S30" s="108">
        <f t="shared" si="32"/>
        <v>1079.0871921215962</v>
      </c>
      <c r="T30" s="108">
        <f t="shared" si="33"/>
        <v>1144.5951343565512</v>
      </c>
      <c r="U30" s="108">
        <f t="shared" si="34"/>
        <v>1260.2096224678905</v>
      </c>
      <c r="V30" s="108">
        <f t="shared" si="35"/>
        <v>1431.1841691024695</v>
      </c>
      <c r="W30" s="108">
        <f t="shared" si="36"/>
        <v>1445.8967088503853</v>
      </c>
      <c r="X30" s="94">
        <f t="shared" si="37"/>
        <v>1445.8967088503853</v>
      </c>
    </row>
    <row r="31" spans="2:24">
      <c r="I31" t="str">
        <f t="shared" si="19"/>
        <v>Single7</v>
      </c>
      <c r="J31" s="108">
        <f t="shared" si="23"/>
        <v>631.87799529691222</v>
      </c>
      <c r="K31" s="108">
        <f t="shared" si="24"/>
        <v>647.28167701856205</v>
      </c>
      <c r="L31" s="108">
        <f t="shared" si="25"/>
        <v>661.9005789752473</v>
      </c>
      <c r="M31" s="108">
        <f t="shared" si="26"/>
        <v>686.56292745068299</v>
      </c>
      <c r="N31" s="108">
        <f t="shared" si="27"/>
        <v>726.93542504830884</v>
      </c>
      <c r="O31" s="108">
        <f t="shared" si="28"/>
        <v>789.38959471448743</v>
      </c>
      <c r="P31" s="108">
        <f t="shared" si="29"/>
        <v>875.98385084607298</v>
      </c>
      <c r="Q31" s="108">
        <f t="shared" si="30"/>
        <v>949.39214483080207</v>
      </c>
      <c r="R31" s="108">
        <f t="shared" si="31"/>
        <v>1031.0783316536877</v>
      </c>
      <c r="S31" s="108">
        <f t="shared" si="32"/>
        <v>1079.0871921215962</v>
      </c>
      <c r="T31" s="108">
        <f t="shared" si="33"/>
        <v>1144.5951343565512</v>
      </c>
      <c r="U31" s="108">
        <f t="shared" si="34"/>
        <v>1260.2096224678905</v>
      </c>
      <c r="V31" s="108">
        <f t="shared" si="35"/>
        <v>1431.1841691024695</v>
      </c>
      <c r="W31" s="108">
        <f t="shared" si="36"/>
        <v>1445.8967088503853</v>
      </c>
      <c r="X31" s="94">
        <f t="shared" si="37"/>
        <v>1445.8967088503853</v>
      </c>
    </row>
    <row r="32" spans="2:24">
      <c r="I32" t="str">
        <f t="shared" si="19"/>
        <v>Single8</v>
      </c>
      <c r="J32" s="108">
        <f t="shared" si="23"/>
        <v>631.87799529691222</v>
      </c>
      <c r="K32" s="108">
        <f t="shared" si="24"/>
        <v>647.28167701856205</v>
      </c>
      <c r="L32" s="108">
        <f t="shared" si="25"/>
        <v>661.9005789752473</v>
      </c>
      <c r="M32" s="108">
        <f t="shared" si="26"/>
        <v>686.56292745068299</v>
      </c>
      <c r="N32" s="108">
        <f t="shared" si="27"/>
        <v>726.93542504830884</v>
      </c>
      <c r="O32" s="108">
        <f t="shared" si="28"/>
        <v>789.38959471448743</v>
      </c>
      <c r="P32" s="108">
        <f t="shared" si="29"/>
        <v>875.98385084607298</v>
      </c>
      <c r="Q32" s="108">
        <f t="shared" si="30"/>
        <v>949.39214483080207</v>
      </c>
      <c r="R32" s="108">
        <f t="shared" si="31"/>
        <v>1031.0783316536877</v>
      </c>
      <c r="S32" s="108">
        <f t="shared" si="32"/>
        <v>1079.0871921215962</v>
      </c>
      <c r="T32" s="108">
        <f t="shared" si="33"/>
        <v>1144.5951343565512</v>
      </c>
      <c r="U32" s="108">
        <f t="shared" si="34"/>
        <v>1260.2096224678905</v>
      </c>
      <c r="V32" s="108">
        <f t="shared" si="35"/>
        <v>1431.1841691024695</v>
      </c>
      <c r="W32" s="108">
        <f t="shared" si="36"/>
        <v>1445.8967088503853</v>
      </c>
      <c r="X32" s="94">
        <f t="shared" si="37"/>
        <v>1445.8967088503853</v>
      </c>
    </row>
    <row r="33" spans="9:24">
      <c r="I33" t="str">
        <f t="shared" si="19"/>
        <v>Single9</v>
      </c>
      <c r="J33" s="108">
        <f t="shared" si="23"/>
        <v>631.87799529691222</v>
      </c>
      <c r="K33" s="108">
        <f t="shared" si="24"/>
        <v>647.28167701856205</v>
      </c>
      <c r="L33" s="108">
        <f t="shared" si="25"/>
        <v>661.9005789752473</v>
      </c>
      <c r="M33" s="108">
        <f t="shared" si="26"/>
        <v>686.56292745068299</v>
      </c>
      <c r="N33" s="108">
        <f t="shared" si="27"/>
        <v>726.93542504830884</v>
      </c>
      <c r="O33" s="108">
        <f t="shared" si="28"/>
        <v>789.38959471448743</v>
      </c>
      <c r="P33" s="108">
        <f t="shared" si="29"/>
        <v>875.98385084607298</v>
      </c>
      <c r="Q33" s="108">
        <f t="shared" si="30"/>
        <v>949.39214483080207</v>
      </c>
      <c r="R33" s="108">
        <f t="shared" si="31"/>
        <v>1031.0783316536877</v>
      </c>
      <c r="S33" s="108">
        <f t="shared" si="32"/>
        <v>1079.0871921215962</v>
      </c>
      <c r="T33" s="108">
        <f t="shared" si="33"/>
        <v>1144.5951343565512</v>
      </c>
      <c r="U33" s="108">
        <f t="shared" si="34"/>
        <v>1260.2096224678905</v>
      </c>
      <c r="V33" s="108">
        <f t="shared" si="35"/>
        <v>1431.1841691024695</v>
      </c>
      <c r="W33" s="108">
        <f t="shared" si="36"/>
        <v>1445.8967088503853</v>
      </c>
      <c r="X33" s="94">
        <f t="shared" si="37"/>
        <v>1445.8967088503853</v>
      </c>
    </row>
    <row r="34" spans="9:24">
      <c r="I34" t="str">
        <f t="shared" si="19"/>
        <v>Single10</v>
      </c>
      <c r="J34" s="108">
        <f t="shared" si="23"/>
        <v>631.87799529691222</v>
      </c>
      <c r="K34" s="108">
        <f t="shared" si="24"/>
        <v>647.28167701856205</v>
      </c>
      <c r="L34" s="108">
        <f t="shared" si="25"/>
        <v>661.9005789752473</v>
      </c>
      <c r="M34" s="108">
        <f t="shared" si="26"/>
        <v>686.56292745068299</v>
      </c>
      <c r="N34" s="108">
        <f t="shared" si="27"/>
        <v>726.93542504830884</v>
      </c>
      <c r="O34" s="108">
        <f t="shared" si="28"/>
        <v>789.38959471448743</v>
      </c>
      <c r="P34" s="108">
        <f t="shared" si="29"/>
        <v>875.98385084607298</v>
      </c>
      <c r="Q34" s="108">
        <f t="shared" si="30"/>
        <v>949.39214483080207</v>
      </c>
      <c r="R34" s="108">
        <f t="shared" si="31"/>
        <v>1031.0783316536877</v>
      </c>
      <c r="S34" s="108">
        <f t="shared" si="32"/>
        <v>1079.0871921215962</v>
      </c>
      <c r="T34" s="108">
        <f t="shared" si="33"/>
        <v>1144.5951343565512</v>
      </c>
      <c r="U34" s="108">
        <f t="shared" si="34"/>
        <v>1260.2096224678905</v>
      </c>
      <c r="V34" s="108">
        <f t="shared" si="35"/>
        <v>1431.1841691024695</v>
      </c>
      <c r="W34" s="108">
        <f t="shared" si="36"/>
        <v>1445.8967088503853</v>
      </c>
      <c r="X34" s="94">
        <f t="shared" si="37"/>
        <v>1445.8967088503853</v>
      </c>
    </row>
    <row r="35" spans="9:24">
      <c r="I35" s="96" t="s">
        <v>183</v>
      </c>
      <c r="J35" s="97" t="str">
        <f t="shared" ref="J35:W35" si="38">J10&amp;" "&amp;J11&amp;" "&amp;J12</f>
        <v xml:space="preserve">26000 or less </v>
      </c>
      <c r="K35" s="97" t="str">
        <f t="shared" si="38"/>
        <v>26000 to 39000</v>
      </c>
      <c r="L35" s="97" t="str">
        <f t="shared" si="38"/>
        <v>39000 to 52000</v>
      </c>
      <c r="M35" s="97" t="str">
        <f t="shared" si="38"/>
        <v>52000 to 66000</v>
      </c>
      <c r="N35" s="97" t="str">
        <f t="shared" si="38"/>
        <v>66000 to 79000</v>
      </c>
      <c r="O35" s="97" t="str">
        <f t="shared" si="38"/>
        <v>79000 to 105000</v>
      </c>
      <c r="P35" s="97" t="str">
        <f t="shared" si="38"/>
        <v>105000 to 131000</v>
      </c>
      <c r="Q35" s="97" t="str">
        <f t="shared" si="38"/>
        <v>131000 to 157000</v>
      </c>
      <c r="R35" s="97" t="str">
        <f t="shared" si="38"/>
        <v>157000 to 184000</v>
      </c>
      <c r="S35" s="97" t="str">
        <f t="shared" si="38"/>
        <v>184000 to 210000</v>
      </c>
      <c r="T35" s="97" t="str">
        <f t="shared" si="38"/>
        <v>210000 to 262000</v>
      </c>
      <c r="U35" s="97" t="str">
        <f t="shared" si="38"/>
        <v>262000 to 328000</v>
      </c>
      <c r="V35" s="97" t="str">
        <f t="shared" si="38"/>
        <v>328000 to 394000</v>
      </c>
      <c r="W35" s="97" t="str">
        <f t="shared" si="38"/>
        <v>394000 to 656000</v>
      </c>
      <c r="X35" s="98" t="str">
        <f>W12&amp;" "&amp;"+"</f>
        <v>656000 +</v>
      </c>
    </row>
    <row r="36" spans="9:24">
      <c r="I36" s="99" t="s">
        <v>184</v>
      </c>
      <c r="J36" s="100">
        <f>J12</f>
        <v>0</v>
      </c>
      <c r="K36" s="100">
        <f t="shared" ref="K36:W36" si="39">K10+0.01</f>
        <v>26000.01</v>
      </c>
      <c r="L36" s="100">
        <f t="shared" si="39"/>
        <v>39000.01</v>
      </c>
      <c r="M36" s="100">
        <f t="shared" si="39"/>
        <v>52000.01</v>
      </c>
      <c r="N36" s="100">
        <f t="shared" si="39"/>
        <v>66000.009999999995</v>
      </c>
      <c r="O36" s="100">
        <f t="shared" si="39"/>
        <v>79000.009999999995</v>
      </c>
      <c r="P36" s="100">
        <f t="shared" si="39"/>
        <v>105000.01</v>
      </c>
      <c r="Q36" s="100">
        <f t="shared" si="39"/>
        <v>131000.01</v>
      </c>
      <c r="R36" s="100">
        <f t="shared" si="39"/>
        <v>157000.01</v>
      </c>
      <c r="S36" s="100">
        <f t="shared" si="39"/>
        <v>184000.01</v>
      </c>
      <c r="T36" s="100">
        <f t="shared" si="39"/>
        <v>210000.01</v>
      </c>
      <c r="U36" s="100">
        <f t="shared" si="39"/>
        <v>262000.01</v>
      </c>
      <c r="V36" s="100">
        <f t="shared" si="39"/>
        <v>328000.01</v>
      </c>
      <c r="W36" s="100">
        <f t="shared" si="39"/>
        <v>394000.01</v>
      </c>
      <c r="X36" s="101">
        <f>W12+0.01</f>
        <v>656000.01</v>
      </c>
    </row>
    <row r="37" spans="9:24">
      <c r="I37" s="102" t="s">
        <v>185</v>
      </c>
      <c r="J37" s="103">
        <f>J10</f>
        <v>26000</v>
      </c>
      <c r="K37" s="103">
        <f t="shared" ref="K37:W37" si="40">K12</f>
        <v>39000</v>
      </c>
      <c r="L37" s="103">
        <f t="shared" si="40"/>
        <v>52000</v>
      </c>
      <c r="M37" s="103">
        <f t="shared" si="40"/>
        <v>66000</v>
      </c>
      <c r="N37" s="103">
        <f t="shared" si="40"/>
        <v>79000</v>
      </c>
      <c r="O37" s="103">
        <f t="shared" si="40"/>
        <v>105000</v>
      </c>
      <c r="P37" s="103">
        <f t="shared" si="40"/>
        <v>131000</v>
      </c>
      <c r="Q37" s="103">
        <f t="shared" si="40"/>
        <v>157000</v>
      </c>
      <c r="R37" s="103">
        <f t="shared" si="40"/>
        <v>184000</v>
      </c>
      <c r="S37" s="103">
        <f t="shared" si="40"/>
        <v>210000</v>
      </c>
      <c r="T37" s="103">
        <f t="shared" si="40"/>
        <v>262000</v>
      </c>
      <c r="U37" s="103">
        <f t="shared" si="40"/>
        <v>328000</v>
      </c>
      <c r="V37" s="103">
        <f t="shared" si="40"/>
        <v>394000</v>
      </c>
      <c r="W37" s="103">
        <f t="shared" si="40"/>
        <v>656000</v>
      </c>
      <c r="X37" s="104">
        <v>1000000000</v>
      </c>
    </row>
    <row r="40" spans="9:24">
      <c r="I40" t="s">
        <v>62</v>
      </c>
    </row>
    <row r="41" spans="9:24">
      <c r="I41" s="21" t="s">
        <v>169</v>
      </c>
    </row>
    <row r="42" spans="9:24">
      <c r="I42" s="14" t="s">
        <v>166</v>
      </c>
    </row>
    <row r="44" spans="9:24">
      <c r="I44" t="s">
        <v>186</v>
      </c>
    </row>
    <row r="45" spans="9:24">
      <c r="I45" s="105">
        <v>0</v>
      </c>
    </row>
    <row r="46" spans="9:24">
      <c r="I46" s="106">
        <v>1</v>
      </c>
    </row>
    <row r="47" spans="9:24">
      <c r="I47" s="106">
        <v>2</v>
      </c>
      <c r="L47" s="22"/>
    </row>
    <row r="48" spans="9:24">
      <c r="I48" s="106">
        <v>3</v>
      </c>
      <c r="L48" s="22"/>
    </row>
    <row r="49" spans="9:12">
      <c r="I49" s="106">
        <v>4</v>
      </c>
      <c r="L49" s="22"/>
    </row>
    <row r="50" spans="9:12">
      <c r="I50" s="106">
        <v>5</v>
      </c>
      <c r="K50" s="50"/>
      <c r="L50" s="22"/>
    </row>
    <row r="51" spans="9:12">
      <c r="I51" s="106">
        <v>6</v>
      </c>
      <c r="K51" s="50"/>
      <c r="L51" s="22"/>
    </row>
    <row r="52" spans="9:12">
      <c r="I52" s="106">
        <v>7</v>
      </c>
      <c r="L52" s="22"/>
    </row>
    <row r="53" spans="9:12">
      <c r="I53" s="106">
        <v>8</v>
      </c>
      <c r="L53" s="22"/>
    </row>
    <row r="54" spans="9:12">
      <c r="I54" s="106">
        <v>9</v>
      </c>
    </row>
    <row r="55" spans="9:12">
      <c r="I55" s="107">
        <v>10</v>
      </c>
    </row>
    <row r="57" spans="9:12">
      <c r="L57" s="22"/>
    </row>
  </sheetData>
  <sheetProtection algorithmName="SHA-512" hashValue="CFE9CdqBILD3OOfW5P5oofgmKliVHA+IYurV993G0WQ+87OBNFzzO5Wwn04bY2OrsDlqBUgMvG7UNdAPyV395Q==" saltValue="mdNgd/sw/wPPl0lTgkBnlg==" spinCount="100000" sheet="1" objects="1" scenarios="1"/>
  <phoneticPr fontId="2"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96BAB-5636-401F-AC39-D0C9D69935B6}">
  <sheetPr codeName="Sheet5"/>
  <dimension ref="B2:F26"/>
  <sheetViews>
    <sheetView showGridLines="0" workbookViewId="0">
      <selection activeCell="B11" sqref="B11"/>
    </sheetView>
  </sheetViews>
  <sheetFormatPr defaultRowHeight="15"/>
  <cols>
    <col min="1" max="1" width="3.5703125" customWidth="1"/>
    <col min="2" max="2" width="20.7109375" customWidth="1"/>
    <col min="3" max="3" width="30.28515625" customWidth="1"/>
    <col min="4" max="4" width="23.140625" customWidth="1"/>
    <col min="5" max="5" width="72.5703125" style="46" customWidth="1"/>
    <col min="6" max="6" width="20.140625" customWidth="1"/>
  </cols>
  <sheetData>
    <row r="2" spans="2:6">
      <c r="C2" s="227" t="s">
        <v>187</v>
      </c>
      <c r="D2" s="227"/>
      <c r="E2" s="227"/>
      <c r="F2" s="227"/>
    </row>
    <row r="3" spans="2:6">
      <c r="C3" s="227"/>
      <c r="D3" s="227"/>
      <c r="E3" s="227"/>
      <c r="F3" s="227"/>
    </row>
    <row r="4" spans="2:6">
      <c r="C4" s="227"/>
      <c r="D4" s="227"/>
      <c r="E4" s="227"/>
      <c r="F4" s="227"/>
    </row>
    <row r="6" spans="2:6" ht="20.100000000000001" customHeight="1">
      <c r="B6" s="49" t="s">
        <v>188</v>
      </c>
      <c r="C6" s="49" t="s">
        <v>189</v>
      </c>
      <c r="D6" s="49" t="s">
        <v>190</v>
      </c>
      <c r="E6" s="51" t="s">
        <v>191</v>
      </c>
      <c r="F6" s="49" t="s">
        <v>192</v>
      </c>
    </row>
    <row r="7" spans="2:6" ht="28.5">
      <c r="B7" s="48">
        <v>45831</v>
      </c>
      <c r="C7" s="47" t="s">
        <v>193</v>
      </c>
      <c r="D7" s="47" t="s">
        <v>194</v>
      </c>
      <c r="E7" s="54" t="s">
        <v>195</v>
      </c>
      <c r="F7" s="47" t="s">
        <v>196</v>
      </c>
    </row>
    <row r="8" spans="2:6" ht="39" customHeight="1">
      <c r="B8" s="48">
        <v>45838</v>
      </c>
      <c r="C8" s="47" t="s">
        <v>197</v>
      </c>
      <c r="D8" s="47" t="s">
        <v>198</v>
      </c>
      <c r="E8" s="54" t="s">
        <v>199</v>
      </c>
      <c r="F8" s="47" t="s">
        <v>196</v>
      </c>
    </row>
    <row r="9" spans="2:6" ht="28.5">
      <c r="B9" s="48">
        <v>45838</v>
      </c>
      <c r="C9" s="47" t="s">
        <v>197</v>
      </c>
      <c r="D9" s="47" t="s">
        <v>198</v>
      </c>
      <c r="E9" s="54" t="s">
        <v>200</v>
      </c>
      <c r="F9" s="47" t="s">
        <v>196</v>
      </c>
    </row>
    <row r="10" spans="2:6">
      <c r="B10" s="48">
        <v>45838</v>
      </c>
      <c r="C10" s="47" t="s">
        <v>193</v>
      </c>
      <c r="D10" s="47" t="s">
        <v>198</v>
      </c>
      <c r="E10" s="54" t="s">
        <v>201</v>
      </c>
      <c r="F10" s="47" t="s">
        <v>196</v>
      </c>
    </row>
    <row r="11" spans="2:6" ht="20.100000000000001" customHeight="1">
      <c r="B11" s="48">
        <v>45979</v>
      </c>
      <c r="C11" s="47" t="s">
        <v>197</v>
      </c>
      <c r="D11" s="47" t="s">
        <v>204</v>
      </c>
      <c r="E11" s="54" t="s">
        <v>203</v>
      </c>
      <c r="F11" s="47" t="s">
        <v>196</v>
      </c>
    </row>
    <row r="12" spans="2:6">
      <c r="B12" s="48"/>
      <c r="C12" s="47"/>
      <c r="D12" s="47"/>
      <c r="E12" s="54"/>
      <c r="F12" s="47"/>
    </row>
    <row r="13" spans="2:6" ht="20.100000000000001" customHeight="1">
      <c r="B13" s="48"/>
      <c r="C13" s="47"/>
      <c r="D13" s="47"/>
      <c r="E13" s="54"/>
      <c r="F13" s="47"/>
    </row>
    <row r="14" spans="2:6" ht="20.100000000000001" customHeight="1">
      <c r="B14" s="48"/>
      <c r="C14" s="47"/>
      <c r="D14" s="47"/>
      <c r="E14" s="54"/>
      <c r="F14" s="47"/>
    </row>
    <row r="15" spans="2:6">
      <c r="B15" s="48"/>
      <c r="C15" s="47"/>
      <c r="D15" s="47"/>
      <c r="E15" s="54"/>
      <c r="F15" s="47"/>
    </row>
    <row r="16" spans="2:6" ht="20.100000000000001" customHeight="1">
      <c r="B16" s="48"/>
      <c r="C16" s="47"/>
      <c r="D16" s="47"/>
      <c r="E16" s="54"/>
      <c r="F16" s="47"/>
    </row>
    <row r="17" spans="2:6" ht="20.100000000000001" customHeight="1">
      <c r="B17" s="48"/>
      <c r="C17" s="47"/>
      <c r="D17" s="47"/>
      <c r="E17" s="54"/>
      <c r="F17" s="47"/>
    </row>
    <row r="18" spans="2:6" ht="20.100000000000001" customHeight="1">
      <c r="B18" s="48"/>
      <c r="C18" s="47"/>
      <c r="D18" s="47"/>
      <c r="E18" s="54"/>
      <c r="F18" s="47"/>
    </row>
    <row r="19" spans="2:6">
      <c r="B19" s="48"/>
      <c r="C19" s="47"/>
      <c r="D19" s="47"/>
      <c r="E19" s="54"/>
      <c r="F19" s="47"/>
    </row>
    <row r="20" spans="2:6" ht="20.100000000000001" customHeight="1">
      <c r="B20" s="48"/>
      <c r="C20" s="47"/>
      <c r="D20" s="47"/>
      <c r="E20" s="54"/>
      <c r="F20" s="47"/>
    </row>
    <row r="21" spans="2:6">
      <c r="B21" s="48"/>
      <c r="C21" s="47"/>
      <c r="D21" s="47"/>
      <c r="E21" s="54"/>
      <c r="F21" s="47"/>
    </row>
    <row r="22" spans="2:6">
      <c r="B22" s="48"/>
      <c r="C22" s="47"/>
      <c r="D22" s="47"/>
      <c r="E22" s="54"/>
      <c r="F22" s="47"/>
    </row>
    <row r="23" spans="2:6">
      <c r="B23" s="48"/>
      <c r="C23" s="47"/>
      <c r="D23" s="47"/>
      <c r="E23" s="54"/>
      <c r="F23" s="47"/>
    </row>
    <row r="24" spans="2:6">
      <c r="B24" s="48"/>
      <c r="C24" s="47"/>
      <c r="D24" s="47"/>
      <c r="E24" s="54"/>
      <c r="F24" s="47"/>
    </row>
    <row r="25" spans="2:6">
      <c r="B25" s="48"/>
      <c r="C25" s="47"/>
      <c r="D25" s="47"/>
      <c r="E25" s="54"/>
      <c r="F25" s="47"/>
    </row>
    <row r="26" spans="2:6">
      <c r="B26" s="48"/>
      <c r="C26" s="47"/>
      <c r="D26" s="47"/>
      <c r="E26" s="54"/>
      <c r="F26" s="47"/>
    </row>
  </sheetData>
  <sheetProtection algorithmName="SHA-512" hashValue="6kXTBgei1St4wyfm4SXkLdmBMKgb7bHIvSaMqkT2gmB0oAeBxKkBWJBtBhNrhf28DjwVnII6m3AoEX7s5RFVtQ==" saltValue="8ZQ8ymzjKu/ajNirPuPRUw==" spinCount="100000" sheet="1" objects="1" scenarios="1"/>
  <mergeCells count="1">
    <mergeCell ref="C2:F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415db37-9144-4f0b-9804-12bf62c78d35" xsi:nil="true"/>
    <lcf76f155ced4ddcb4097134ff3c332f xmlns="1acba144-0e5f-4b25-8e90-94c48c6051d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35366F1963A6D40AAF3588072158295" ma:contentTypeVersion="14" ma:contentTypeDescription="Create a new document." ma:contentTypeScope="" ma:versionID="ecc3bd65c3eafc0fed6783b9e931d96e">
  <xsd:schema xmlns:xsd="http://www.w3.org/2001/XMLSchema" xmlns:xs="http://www.w3.org/2001/XMLSchema" xmlns:p="http://schemas.microsoft.com/office/2006/metadata/properties" xmlns:ns2="1acba144-0e5f-4b25-8e90-94c48c6051dc" xmlns:ns3="a415db37-9144-4f0b-9804-12bf62c78d35" targetNamespace="http://schemas.microsoft.com/office/2006/metadata/properties" ma:root="true" ma:fieldsID="50842cd6bc495ed8656d38f5affe1696" ns2:_="" ns3:_="">
    <xsd:import namespace="1acba144-0e5f-4b25-8e90-94c48c6051dc"/>
    <xsd:import namespace="a415db37-9144-4f0b-9804-12bf62c78d3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cba144-0e5f-4b25-8e90-94c48c6051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684c391-426d-4d17-920c-21c6d5ce412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15db37-9144-4f0b-9804-12bf62c78d3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f59a939d-2e17-42d5-ae0a-0f4a743eb07f}" ma:internalName="TaxCatchAll" ma:showField="CatchAllData" ma:web="a415db37-9144-4f0b-9804-12bf62c78d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4B4B59-FE33-4F5A-8E2D-3937483CFBF5}">
  <ds:schemaRefs>
    <ds:schemaRef ds:uri="http://schemas.microsoft.com/office/2006/metadata/properties"/>
    <ds:schemaRef ds:uri="http://schemas.microsoft.com/office/infopath/2007/PartnerControls"/>
    <ds:schemaRef ds:uri="a415db37-9144-4f0b-9804-12bf62c78d35"/>
    <ds:schemaRef ds:uri="1acba144-0e5f-4b25-8e90-94c48c6051dc"/>
  </ds:schemaRefs>
</ds:datastoreItem>
</file>

<file path=customXml/itemProps2.xml><?xml version="1.0" encoding="utf-8"?>
<ds:datastoreItem xmlns:ds="http://schemas.openxmlformats.org/officeDocument/2006/customXml" ds:itemID="{7785DF00-05CC-4594-B469-D8F1F3D511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cba144-0e5f-4b25-8e90-94c48c6051dc"/>
    <ds:schemaRef ds:uri="a415db37-9144-4f0b-9804-12bf62c78d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08AF95-A6CE-43C0-8601-A053B7FC6BEB}">
  <ds:schemaRefs>
    <ds:schemaRef ds:uri="http://schemas.microsoft.com/sharepoint/v3/contenttype/forms"/>
  </ds:schemaRefs>
</ds:datastoreItem>
</file>

<file path=docMetadata/LabelInfo.xml><?xml version="1.0" encoding="utf-8"?>
<clbl:labelList xmlns:clbl="http://schemas.microsoft.com/office/2020/mipLabelMetadata">
  <clbl:label id="{7f09e0ef-257d-4ffa-8eae-ade85f90c32f}" enabled="1" method="Privileged" siteId="{7e55ccd3-ec0d-43ec-8256-8e09b2dbe1d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Loan Serviceability Calculator</vt:lpstr>
      <vt:lpstr>YTD Income Calculator</vt:lpstr>
      <vt:lpstr>User Guidelines</vt:lpstr>
      <vt:lpstr>Variables</vt:lpstr>
      <vt:lpstr>Administration</vt:lpstr>
      <vt:lpstr>Tax</vt:lpstr>
    </vt:vector>
  </TitlesOfParts>
  <Manager/>
  <Company>BankVic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 Ahn</dc:creator>
  <cp:keywords/>
  <dc:description/>
  <cp:lastModifiedBy>Sophie Ahn</cp:lastModifiedBy>
  <cp:revision/>
  <dcterms:created xsi:type="dcterms:W3CDTF">2022-12-20T23:28:46Z</dcterms:created>
  <dcterms:modified xsi:type="dcterms:W3CDTF">2025-11-17T23:08:26Z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0x010100935366F1963A6D40AAF3588072158295</vt:lpwstr>
  </property>
  <property fmtid="{D5CDD505-2E9C-101B-9397-08002B2CF9AE}" pid="3" name="MediaServiceImageTags">
    <vt:lpwstr/>
  </property>
</Properties>
</file>