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ecurityboard-my.sharepoint.com/personal/amanda_sinden_esb_org_au/Documents/Amanda Sinden_WIP/CMM/"/>
    </mc:Choice>
  </mc:AlternateContent>
  <xr:revisionPtr revIDLastSave="153" documentId="8_{D5C3802D-62B1-4F6A-A93B-8D381FE3DCD5}" xr6:coauthVersionLast="47" xr6:coauthVersionMax="47" xr10:uidLastSave="{7B9D590F-32AB-49F7-974C-D9C3C0FCD4ED}"/>
  <bookViews>
    <workbookView xWindow="-110" yWindow="-110" windowWidth="19420" windowHeight="10420" xr2:uid="{9E6F44AC-FBBE-46FB-8AD0-A10B1260F4B2}"/>
  </bookViews>
  <sheets>
    <sheet name="Cover sheet" sheetId="22" r:id="rId1"/>
    <sheet name="Inputs" sheetId="23" r:id="rId2"/>
    <sheet name="Results" sheetId="31" r:id="rId3"/>
    <sheet name="Note_Rounding" sheetId="30" r:id="rId4"/>
    <sheet name="OLD" sheetId="1" state="hidden" r:id="rId5"/>
  </sheets>
  <definedNames>
    <definedName name="_ftn1" localSheetId="4">OLD!$B$99</definedName>
    <definedName name="_ftn2" localSheetId="4">OLD!$B$100</definedName>
    <definedName name="_ftn3" localSheetId="4">OLD!$B$101</definedName>
    <definedName name="_ftnref1" localSheetId="4">OLD!$E$78</definedName>
    <definedName name="_ftnref2" localSheetId="4">OLD!#REF!</definedName>
    <definedName name="_ftnref3" localSheetId="4">OLD!$J$83</definedName>
    <definedName name="RR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1" l="1"/>
  <c r="O12" i="31"/>
  <c r="N12" i="31"/>
  <c r="P11" i="31"/>
  <c r="O11" i="31"/>
  <c r="N11" i="31"/>
  <c r="P10" i="31"/>
  <c r="O10" i="31"/>
  <c r="N10" i="31"/>
  <c r="P9" i="31"/>
  <c r="O9" i="31"/>
  <c r="N9" i="31"/>
  <c r="P8" i="31"/>
  <c r="O8" i="31"/>
  <c r="N8" i="31"/>
  <c r="P7" i="31"/>
  <c r="O7" i="31"/>
  <c r="N7" i="31"/>
  <c r="G12" i="31"/>
  <c r="G11" i="31"/>
  <c r="G10" i="31"/>
  <c r="G9" i="31"/>
  <c r="G8" i="31"/>
  <c r="G7" i="31"/>
  <c r="B22" i="22" l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E2" i="23"/>
  <c r="J32" i="22"/>
  <c r="J28" i="22"/>
  <c r="J26" i="22"/>
  <c r="P57" i="23" l="1"/>
  <c r="O57" i="23"/>
  <c r="N57" i="23"/>
  <c r="L57" i="23"/>
  <c r="J57" i="23"/>
  <c r="H57" i="23"/>
  <c r="F56" i="23"/>
  <c r="F55" i="23"/>
  <c r="F54" i="23"/>
  <c r="P49" i="23"/>
  <c r="N48" i="23"/>
  <c r="N47" i="23"/>
  <c r="N46" i="23"/>
  <c r="L49" i="23"/>
  <c r="J49" i="23"/>
  <c r="H48" i="23"/>
  <c r="H47" i="23"/>
  <c r="H46" i="23"/>
  <c r="F49" i="23"/>
  <c r="N14" i="23"/>
  <c r="N13" i="23"/>
  <c r="N12" i="23"/>
  <c r="N11" i="23"/>
  <c r="L14" i="23"/>
  <c r="L13" i="23"/>
  <c r="L12" i="23"/>
  <c r="L11" i="23"/>
  <c r="J14" i="23"/>
  <c r="J13" i="23"/>
  <c r="J12" i="23"/>
  <c r="J11" i="23"/>
  <c r="H14" i="23"/>
  <c r="H13" i="23"/>
  <c r="H12" i="23"/>
  <c r="H11" i="23"/>
  <c r="F14" i="23"/>
  <c r="E14" i="23"/>
  <c r="L30" i="23"/>
  <c r="L29" i="23"/>
  <c r="L28" i="23"/>
  <c r="L27" i="23"/>
  <c r="J30" i="23"/>
  <c r="J29" i="23"/>
  <c r="J28" i="23"/>
  <c r="J27" i="23"/>
  <c r="H30" i="23"/>
  <c r="H29" i="23"/>
  <c r="H28" i="23"/>
  <c r="H27" i="23"/>
  <c r="P30" i="23"/>
  <c r="P29" i="23"/>
  <c r="P28" i="23"/>
  <c r="N30" i="23"/>
  <c r="N29" i="23"/>
  <c r="N28" i="23"/>
  <c r="P77" i="23"/>
  <c r="O77" i="23"/>
  <c r="N77" i="23"/>
  <c r="P76" i="23"/>
  <c r="O76" i="23"/>
  <c r="N76" i="23"/>
  <c r="P75" i="23"/>
  <c r="O75" i="23"/>
  <c r="N75" i="23"/>
  <c r="P74" i="23"/>
  <c r="O74" i="23"/>
  <c r="N74" i="23"/>
  <c r="H77" i="23"/>
  <c r="H76" i="23"/>
  <c r="H75" i="23"/>
  <c r="H74" i="23"/>
  <c r="D5" i="23"/>
  <c r="H49" i="23" l="1"/>
  <c r="F57" i="23"/>
  <c r="N49" i="23"/>
  <c r="F2" i="23" l="1"/>
  <c r="E5" i="23"/>
  <c r="G2" i="23" l="1"/>
  <c r="F5" i="23"/>
  <c r="H2" i="23" l="1"/>
  <c r="G5" i="23"/>
  <c r="I2" i="23" l="1"/>
  <c r="H5" i="23"/>
  <c r="H11" i="31" l="1"/>
  <c r="H9" i="31"/>
  <c r="J2" i="23"/>
  <c r="I5" i="23"/>
  <c r="H12" i="31" s="1"/>
  <c r="F10" i="31" l="1"/>
  <c r="K2" i="23"/>
  <c r="J5" i="23"/>
  <c r="L2" i="23" l="1"/>
  <c r="K5" i="23"/>
  <c r="M2" i="23" l="1"/>
  <c r="L5" i="23"/>
  <c r="N2" i="23" l="1"/>
  <c r="M5" i="23"/>
  <c r="O2" i="23" l="1"/>
  <c r="N5" i="23"/>
  <c r="P2" i="23" l="1"/>
  <c r="P5" i="23" s="1"/>
  <c r="O5" i="23"/>
  <c r="H8" i="31" l="1"/>
  <c r="H7" i="31"/>
  <c r="H10" i="31"/>
  <c r="F11" i="31"/>
  <c r="F7" i="31"/>
  <c r="F9" i="31"/>
  <c r="E2" i="31" a="1"/>
  <c r="E2" i="31" s="1"/>
  <c r="F12" i="31"/>
  <c r="F8" i="31"/>
  <c r="M2" i="31" a="1"/>
  <c r="M2" i="31" s="1"/>
  <c r="M12" i="31"/>
  <c r="E9" i="31"/>
  <c r="D18" i="31"/>
  <c r="C23" i="31" a="1"/>
  <c r="C23" i="31" s="1"/>
  <c r="C34" i="31"/>
  <c r="E11" i="31"/>
  <c r="D11" i="31"/>
  <c r="C31" i="31"/>
  <c r="E12" i="31"/>
  <c r="D19" i="31"/>
  <c r="D22" i="31"/>
  <c r="D12" i="31"/>
  <c r="L11" i="31"/>
  <c r="E7" i="31"/>
  <c r="C35" i="31"/>
  <c r="C33" i="31"/>
  <c r="C12" i="31"/>
  <c r="D35" i="31"/>
  <c r="C19" i="31" a="1"/>
  <c r="C19" i="31" s="1"/>
  <c r="C11" i="31"/>
  <c r="D34" i="31"/>
  <c r="D20" i="31"/>
  <c r="E8" i="31"/>
  <c r="L23" i="31"/>
  <c r="C18" i="31" a="1"/>
  <c r="C18" i="31" s="1"/>
  <c r="K18" i="31" a="1"/>
  <c r="K18" i="31" s="1"/>
  <c r="M9" i="31"/>
  <c r="M10" i="31"/>
  <c r="L20" i="31"/>
  <c r="K23" i="31" a="1"/>
  <c r="K23" i="31" s="1"/>
  <c r="C20" i="31" a="1"/>
  <c r="C20" i="31" s="1"/>
  <c r="K20" i="31" a="1"/>
  <c r="K20" i="31" s="1"/>
  <c r="L19" i="31"/>
  <c r="L31" i="31"/>
  <c r="K31" i="31"/>
  <c r="K33" i="31"/>
  <c r="L30" i="31"/>
  <c r="C32" i="31"/>
  <c r="K19" i="31" a="1"/>
  <c r="K19" i="31" s="1"/>
  <c r="K11" i="31"/>
  <c r="L18" i="31"/>
  <c r="L35" i="31"/>
  <c r="K35" i="31"/>
  <c r="C22" i="31" a="1"/>
  <c r="C22" i="31" s="1"/>
  <c r="C30" i="31"/>
  <c r="K21" i="31" a="1"/>
  <c r="K21" i="31" s="1"/>
  <c r="K12" i="31"/>
  <c r="K34" i="31"/>
  <c r="C21" i="31" a="1"/>
  <c r="C21" i="31" s="1"/>
  <c r="L22" i="31"/>
  <c r="M11" i="31"/>
  <c r="D23" i="31"/>
  <c r="M8" i="31"/>
  <c r="L12" i="31"/>
  <c r="L34" i="31"/>
  <c r="E10" i="31"/>
  <c r="K22" i="31" a="1"/>
  <c r="K22" i="31" s="1"/>
  <c r="M7" i="31"/>
  <c r="K32" i="31"/>
  <c r="L32" i="31"/>
  <c r="K30" i="31"/>
  <c r="E19" i="31" l="1"/>
  <c r="M19" i="31"/>
  <c r="M35" i="31"/>
  <c r="N35" i="31" s="1"/>
  <c r="E34" i="31"/>
  <c r="F34" i="31" s="1"/>
  <c r="E22" i="31"/>
  <c r="M23" i="31"/>
  <c r="M32" i="31"/>
  <c r="N32" i="31" s="1"/>
  <c r="E20" i="31"/>
  <c r="M22" i="31"/>
  <c r="M20" i="31"/>
  <c r="M18" i="31"/>
  <c r="M30" i="31"/>
  <c r="N30" i="31" s="1"/>
  <c r="M34" i="31"/>
  <c r="N34" i="31" s="1"/>
  <c r="N23" i="31"/>
  <c r="M31" i="31"/>
  <c r="N31" i="31" s="1"/>
  <c r="N22" i="31"/>
  <c r="E18" i="31"/>
  <c r="E35" i="31"/>
  <c r="F35" i="31" s="1"/>
  <c r="F23" i="31"/>
  <c r="E23" i="31"/>
  <c r="F22" i="31"/>
  <c r="G34" i="31" l="1"/>
  <c r="H34" i="31" s="1"/>
  <c r="E45" i="31" s="1"/>
  <c r="O35" i="31"/>
  <c r="P35" i="31" s="1"/>
  <c r="M46" i="31" s="1"/>
  <c r="G23" i="31"/>
  <c r="D46" i="31" s="1"/>
  <c r="O34" i="31"/>
  <c r="P34" i="31" s="1"/>
  <c r="M45" i="31" s="1"/>
  <c r="K46" i="31"/>
  <c r="G22" i="31"/>
  <c r="D45" i="31" s="1"/>
  <c r="O22" i="31"/>
  <c r="L45" i="31" s="1"/>
  <c r="O23" i="31"/>
  <c r="L46" i="31" s="1"/>
  <c r="G35" i="31"/>
  <c r="H35" i="31" s="1"/>
  <c r="E46" i="31" s="1"/>
  <c r="C45" i="31" l="1"/>
  <c r="K45" i="31"/>
  <c r="F45" i="31"/>
  <c r="C46" i="31"/>
  <c r="N46" i="31"/>
  <c r="F46" i="31"/>
  <c r="N45" i="31"/>
  <c r="J24" i="22" l="1"/>
  <c r="J30" i="22"/>
  <c r="J22" i="22"/>
  <c r="J21" i="22"/>
  <c r="E52" i="30"/>
  <c r="E51" i="30"/>
  <c r="E50" i="30"/>
  <c r="H41" i="30"/>
  <c r="H40" i="30"/>
  <c r="H39" i="30"/>
  <c r="E41" i="30"/>
  <c r="E40" i="30"/>
  <c r="E39" i="30"/>
  <c r="D42" i="30"/>
  <c r="D53" i="30" s="1"/>
  <c r="D41" i="30"/>
  <c r="D52" i="30" s="1"/>
  <c r="D40" i="30"/>
  <c r="D51" i="30" s="1"/>
  <c r="D39" i="30"/>
  <c r="H31" i="30"/>
  <c r="H30" i="30"/>
  <c r="H29" i="30"/>
  <c r="D29" i="30"/>
  <c r="E30" i="30"/>
  <c r="E31" i="30"/>
  <c r="E29" i="30"/>
  <c r="D32" i="30"/>
  <c r="D31" i="30"/>
  <c r="D30" i="30"/>
  <c r="I39" i="30" l="1"/>
  <c r="I30" i="30"/>
  <c r="D50" i="30"/>
  <c r="G50" i="30" s="1"/>
  <c r="F51" i="30"/>
  <c r="G52" i="30"/>
  <c r="G51" i="30"/>
  <c r="F52" i="30"/>
  <c r="J29" i="30"/>
  <c r="F31" i="30"/>
  <c r="F41" i="30"/>
  <c r="G29" i="30"/>
  <c r="J31" i="30"/>
  <c r="G31" i="30"/>
  <c r="G30" i="30"/>
  <c r="I29" i="30"/>
  <c r="I31" i="30"/>
  <c r="J30" i="30"/>
  <c r="G40" i="30"/>
  <c r="F40" i="30"/>
  <c r="G41" i="30"/>
  <c r="J41" i="30"/>
  <c r="J40" i="30"/>
  <c r="G39" i="30"/>
  <c r="F39" i="30"/>
  <c r="J39" i="30"/>
  <c r="I41" i="30"/>
  <c r="I40" i="30"/>
  <c r="F29" i="30"/>
  <c r="F30" i="30"/>
  <c r="K14" i="23"/>
  <c r="L10" i="31" s="1"/>
  <c r="K13" i="23"/>
  <c r="L9" i="31" s="1"/>
  <c r="K12" i="23"/>
  <c r="L8" i="31" s="1"/>
  <c r="K11" i="23"/>
  <c r="L7" i="31" s="1"/>
  <c r="K30" i="23"/>
  <c r="K10" i="31" s="1"/>
  <c r="K29" i="23"/>
  <c r="K9" i="31" s="1"/>
  <c r="K28" i="23"/>
  <c r="K8" i="31" s="1"/>
  <c r="K27" i="23"/>
  <c r="K7" i="31" s="1"/>
  <c r="O30" i="23"/>
  <c r="O29" i="23"/>
  <c r="O28" i="23"/>
  <c r="M29" i="23"/>
  <c r="G77" i="23"/>
  <c r="G76" i="23"/>
  <c r="G75" i="23"/>
  <c r="G74" i="23"/>
  <c r="G30" i="23"/>
  <c r="G29" i="23"/>
  <c r="G28" i="23"/>
  <c r="G27" i="23"/>
  <c r="M13" i="23"/>
  <c r="M12" i="23"/>
  <c r="M11" i="23"/>
  <c r="I13" i="23"/>
  <c r="D9" i="31" s="1"/>
  <c r="I12" i="23"/>
  <c r="D8" i="31" s="1"/>
  <c r="I11" i="23"/>
  <c r="D7" i="31" s="1"/>
  <c r="M14" i="23"/>
  <c r="I14" i="23"/>
  <c r="D10" i="31" s="1"/>
  <c r="G14" i="23"/>
  <c r="D14" i="23"/>
  <c r="G13" i="23"/>
  <c r="G12" i="23"/>
  <c r="G11" i="23"/>
  <c r="M48" i="23"/>
  <c r="M47" i="23"/>
  <c r="M46" i="23"/>
  <c r="G48" i="23"/>
  <c r="G47" i="23"/>
  <c r="G46" i="23"/>
  <c r="M30" i="23"/>
  <c r="M28" i="23"/>
  <c r="I30" i="23"/>
  <c r="C10" i="31" s="1"/>
  <c r="I29" i="23"/>
  <c r="C9" i="31" s="1"/>
  <c r="F20" i="31" s="1"/>
  <c r="G20" i="31" s="1"/>
  <c r="D43" i="31" s="1"/>
  <c r="I28" i="23"/>
  <c r="C8" i="31" s="1"/>
  <c r="F19" i="31" s="1"/>
  <c r="G19" i="31" s="1"/>
  <c r="D42" i="31" s="1"/>
  <c r="I27" i="23"/>
  <c r="C7" i="31" s="1"/>
  <c r="F18" i="31" s="1"/>
  <c r="G18" i="31" s="1"/>
  <c r="M77" i="23"/>
  <c r="M76" i="23"/>
  <c r="M75" i="23"/>
  <c r="M74" i="23"/>
  <c r="E56" i="23"/>
  <c r="D32" i="31" s="1"/>
  <c r="E32" i="31" s="1"/>
  <c r="E55" i="23"/>
  <c r="D31" i="31" s="1"/>
  <c r="E31" i="31" s="1"/>
  <c r="E54" i="23"/>
  <c r="D30" i="31" s="1"/>
  <c r="E30" i="31" s="1"/>
  <c r="E77" i="23"/>
  <c r="E76" i="23"/>
  <c r="E75" i="23"/>
  <c r="E74" i="23"/>
  <c r="D41" i="31" l="1"/>
  <c r="N18" i="31"/>
  <c r="O30" i="31"/>
  <c r="N19" i="31"/>
  <c r="O31" i="31"/>
  <c r="P31" i="31" s="1"/>
  <c r="M42" i="31" s="1"/>
  <c r="N20" i="31"/>
  <c r="O32" i="31"/>
  <c r="P32" i="31" s="1"/>
  <c r="M43" i="31" s="1"/>
  <c r="G32" i="31"/>
  <c r="C43" i="31" s="1"/>
  <c r="F32" i="31"/>
  <c r="F31" i="31"/>
  <c r="G31" i="31"/>
  <c r="C42" i="31" s="1"/>
  <c r="G30" i="31"/>
  <c r="C41" i="31" s="1"/>
  <c r="F30" i="31"/>
  <c r="H30" i="31" s="1"/>
  <c r="K49" i="23"/>
  <c r="L21" i="31" s="1"/>
  <c r="K57" i="23"/>
  <c r="L33" i="31" s="1"/>
  <c r="I49" i="23"/>
  <c r="E32" i="30" s="1"/>
  <c r="F50" i="30"/>
  <c r="G57" i="23"/>
  <c r="O49" i="23"/>
  <c r="D49" i="23"/>
  <c r="E49" i="23"/>
  <c r="M49" i="23"/>
  <c r="D57" i="23"/>
  <c r="I57" i="23"/>
  <c r="M57" i="23"/>
  <c r="G49" i="23"/>
  <c r="E57" i="23"/>
  <c r="D33" i="31" l="1"/>
  <c r="D36" i="31" s="1"/>
  <c r="L36" i="31"/>
  <c r="M33" i="31"/>
  <c r="L24" i="31"/>
  <c r="M21" i="31"/>
  <c r="N21" i="31"/>
  <c r="N24" i="31" s="1"/>
  <c r="O20" i="31"/>
  <c r="L43" i="31" s="1"/>
  <c r="N43" i="31" s="1"/>
  <c r="K43" i="31"/>
  <c r="O18" i="31"/>
  <c r="H31" i="31"/>
  <c r="E42" i="31" s="1"/>
  <c r="F42" i="31" s="1"/>
  <c r="O19" i="31"/>
  <c r="L42" i="31" s="1"/>
  <c r="N42" i="31" s="1"/>
  <c r="K42" i="31"/>
  <c r="H32" i="31"/>
  <c r="E43" i="31" s="1"/>
  <c r="F43" i="31" s="1"/>
  <c r="K41" i="31"/>
  <c r="P30" i="31"/>
  <c r="D21" i="31"/>
  <c r="E33" i="31" s="1"/>
  <c r="H42" i="30"/>
  <c r="H32" i="30"/>
  <c r="G32" i="30"/>
  <c r="G33" i="30" s="1"/>
  <c r="E33" i="30"/>
  <c r="F32" i="30"/>
  <c r="F33" i="30" s="1"/>
  <c r="E53" i="30"/>
  <c r="E42" i="30"/>
  <c r="N33" i="31" l="1"/>
  <c r="M36" i="31"/>
  <c r="O33" i="31"/>
  <c r="O36" i="31" s="1"/>
  <c r="L41" i="31"/>
  <c r="M41" i="31"/>
  <c r="O21" i="31"/>
  <c r="L44" i="31" s="1"/>
  <c r="M24" i="31"/>
  <c r="G33" i="31"/>
  <c r="G36" i="31" s="1"/>
  <c r="F33" i="31"/>
  <c r="F21" i="31"/>
  <c r="E21" i="31"/>
  <c r="D24" i="31"/>
  <c r="E36" i="31"/>
  <c r="J32" i="30"/>
  <c r="J33" i="30" s="1"/>
  <c r="H33" i="30"/>
  <c r="I32" i="30"/>
  <c r="I33" i="30" s="1"/>
  <c r="E43" i="30"/>
  <c r="F42" i="30"/>
  <c r="F43" i="30" s="1"/>
  <c r="G42" i="30"/>
  <c r="G43" i="30" s="1"/>
  <c r="H43" i="30"/>
  <c r="I42" i="30"/>
  <c r="I43" i="30" s="1"/>
  <c r="J42" i="30"/>
  <c r="J43" i="30" s="1"/>
  <c r="G53" i="30"/>
  <c r="G54" i="30" s="1"/>
  <c r="F53" i="30"/>
  <c r="F54" i="30" s="1"/>
  <c r="E54" i="30"/>
  <c r="C44" i="31" l="1"/>
  <c r="C47" i="31" s="1"/>
  <c r="H33" i="31"/>
  <c r="E44" i="31" s="1"/>
  <c r="F36" i="31"/>
  <c r="G21" i="31"/>
  <c r="G24" i="31" s="1"/>
  <c r="K44" i="31"/>
  <c r="K47" i="31" s="1"/>
  <c r="P33" i="31"/>
  <c r="N36" i="31"/>
  <c r="O24" i="31"/>
  <c r="L47" i="31"/>
  <c r="N41" i="31"/>
  <c r="E24" i="31"/>
  <c r="F24" i="31"/>
  <c r="E41" i="31"/>
  <c r="M44" i="31" l="1"/>
  <c r="P36" i="31"/>
  <c r="H36" i="31"/>
  <c r="E47" i="31"/>
  <c r="F41" i="31"/>
  <c r="D44" i="31"/>
  <c r="M47" i="31" l="1"/>
  <c r="N44" i="31"/>
  <c r="N47" i="31" s="1"/>
  <c r="F44" i="31"/>
  <c r="F47" i="31" s="1"/>
  <c r="D47" i="31"/>
  <c r="E19" i="30" l="1"/>
  <c r="F47" i="1" l="1"/>
  <c r="F46" i="1"/>
  <c r="F45" i="1"/>
  <c r="F42" i="1"/>
  <c r="D82" i="1"/>
  <c r="I82" i="1" s="1"/>
  <c r="C37" i="1"/>
  <c r="D16" i="1"/>
  <c r="G16" i="1" s="1"/>
  <c r="L105" i="1"/>
  <c r="K105" i="1"/>
  <c r="I105" i="1"/>
  <c r="D105" i="1"/>
  <c r="J105" i="1" s="1"/>
  <c r="K82" i="1"/>
  <c r="D13" i="1"/>
  <c r="J25" i="1"/>
  <c r="J27" i="1" s="1"/>
  <c r="H59" i="1"/>
  <c r="H60" i="1" s="1"/>
  <c r="H57" i="1"/>
  <c r="H58" i="1" s="1"/>
  <c r="H55" i="1"/>
  <c r="G57" i="1"/>
  <c r="G58" i="1" s="1"/>
  <c r="C61" i="1"/>
  <c r="F213" i="1"/>
  <c r="L204" i="1"/>
  <c r="I204" i="1"/>
  <c r="F188" i="1"/>
  <c r="F193" i="1" s="1"/>
  <c r="D182" i="1"/>
  <c r="D205" i="1"/>
  <c r="L203" i="1"/>
  <c r="I203" i="1"/>
  <c r="C203" i="1"/>
  <c r="L202" i="1"/>
  <c r="I202" i="1"/>
  <c r="C202" i="1"/>
  <c r="L201" i="1"/>
  <c r="I201" i="1"/>
  <c r="C201" i="1"/>
  <c r="F21" i="1"/>
  <c r="F24" i="1" s="1"/>
  <c r="G24" i="1" s="1"/>
  <c r="F181" i="1"/>
  <c r="F180" i="1"/>
  <c r="F179" i="1"/>
  <c r="F155" i="1"/>
  <c r="F160" i="1" s="1"/>
  <c r="G160" i="1" s="1"/>
  <c r="G181" i="1" s="1"/>
  <c r="L181" i="1"/>
  <c r="C181" i="1"/>
  <c r="E180" i="1"/>
  <c r="C180" i="1"/>
  <c r="C179" i="1"/>
  <c r="C172" i="1"/>
  <c r="G171" i="1"/>
  <c r="H171" i="1" s="1"/>
  <c r="F171" i="1" s="1"/>
  <c r="G170" i="1"/>
  <c r="F170" i="1" s="1"/>
  <c r="G169" i="1"/>
  <c r="H139" i="1"/>
  <c r="E146" i="1"/>
  <c r="E148" i="1"/>
  <c r="E147" i="1"/>
  <c r="E138" i="1"/>
  <c r="E137" i="1"/>
  <c r="E136" i="1"/>
  <c r="G136" i="1"/>
  <c r="F136" i="1" s="1"/>
  <c r="G137" i="1"/>
  <c r="F137" i="1" s="1"/>
  <c r="G138" i="1"/>
  <c r="F138" i="1" s="1"/>
  <c r="D148" i="1"/>
  <c r="L148" i="1" s="1"/>
  <c r="C148" i="1"/>
  <c r="D147" i="1"/>
  <c r="C147" i="1"/>
  <c r="D146" i="1"/>
  <c r="I146" i="1" s="1"/>
  <c r="C146" i="1"/>
  <c r="C139" i="1"/>
  <c r="E126" i="1"/>
  <c r="D127" i="1"/>
  <c r="D126" i="1"/>
  <c r="D125" i="1"/>
  <c r="C118" i="1"/>
  <c r="E117" i="1"/>
  <c r="F117" i="1" s="1"/>
  <c r="E127" i="1" s="1"/>
  <c r="E116" i="1"/>
  <c r="D116" i="1" s="1"/>
  <c r="E115" i="1"/>
  <c r="F115" i="1" s="1"/>
  <c r="E125" i="1" s="1"/>
  <c r="C127" i="1"/>
  <c r="C126" i="1"/>
  <c r="C125" i="1"/>
  <c r="C104" i="1"/>
  <c r="C103" i="1"/>
  <c r="C102" i="1"/>
  <c r="F94" i="1"/>
  <c r="F93" i="1"/>
  <c r="F92" i="1"/>
  <c r="C81" i="1"/>
  <c r="C80" i="1"/>
  <c r="C79" i="1"/>
  <c r="F71" i="1"/>
  <c r="F70" i="1"/>
  <c r="F69" i="1"/>
  <c r="E47" i="1"/>
  <c r="E46" i="1"/>
  <c r="E45" i="1"/>
  <c r="A20" i="1"/>
  <c r="B20" i="1" s="1"/>
  <c r="L104" i="1"/>
  <c r="I104" i="1"/>
  <c r="L103" i="1"/>
  <c r="I103" i="1"/>
  <c r="L102" i="1"/>
  <c r="L106" i="1" s="1"/>
  <c r="I102" i="1"/>
  <c r="H15" i="1"/>
  <c r="G15" i="1"/>
  <c r="H14" i="1"/>
  <c r="G14" i="1"/>
  <c r="B9" i="1"/>
  <c r="D94" i="1"/>
  <c r="E94" i="1" s="1"/>
  <c r="D93" i="1"/>
  <c r="E93" i="1" s="1"/>
  <c r="D92" i="1"/>
  <c r="E92" i="1" s="1"/>
  <c r="C95" i="1"/>
  <c r="D71" i="1"/>
  <c r="D70" i="1"/>
  <c r="D69" i="1"/>
  <c r="C72" i="1"/>
  <c r="G36" i="1"/>
  <c r="G35" i="1"/>
  <c r="F36" i="1"/>
  <c r="F35" i="1"/>
  <c r="L82" i="1" l="1"/>
  <c r="D106" i="1"/>
  <c r="H16" i="1"/>
  <c r="I16" i="1" s="1"/>
  <c r="D83" i="1"/>
  <c r="D17" i="1"/>
  <c r="M105" i="1"/>
  <c r="I106" i="1"/>
  <c r="J82" i="1"/>
  <c r="M82" i="1" s="1"/>
  <c r="H61" i="1"/>
  <c r="H13" i="1"/>
  <c r="H56" i="1"/>
  <c r="G55" i="1"/>
  <c r="G59" i="1"/>
  <c r="G60" i="1" s="1"/>
  <c r="F139" i="1"/>
  <c r="I205" i="1"/>
  <c r="F194" i="1"/>
  <c r="G194" i="1" s="1"/>
  <c r="G204" i="1" s="1"/>
  <c r="D214" i="1" s="1"/>
  <c r="L205" i="1"/>
  <c r="D117" i="1"/>
  <c r="D115" i="1"/>
  <c r="F191" i="1"/>
  <c r="G191" i="1" s="1"/>
  <c r="G201" i="1" s="1"/>
  <c r="J201" i="1" s="1"/>
  <c r="F192" i="1"/>
  <c r="G192" i="1" s="1"/>
  <c r="G202" i="1" s="1"/>
  <c r="G193" i="1"/>
  <c r="G203" i="1" s="1"/>
  <c r="J203" i="1" s="1"/>
  <c r="F26" i="1"/>
  <c r="G26" i="1" s="1"/>
  <c r="F25" i="1"/>
  <c r="G25" i="1" s="1"/>
  <c r="F158" i="1"/>
  <c r="G158" i="1" s="1"/>
  <c r="G179" i="1" s="1"/>
  <c r="F159" i="1"/>
  <c r="G159" i="1" s="1"/>
  <c r="G180" i="1" s="1"/>
  <c r="I180" i="1"/>
  <c r="I179" i="1"/>
  <c r="E181" i="1"/>
  <c r="H169" i="1"/>
  <c r="L146" i="1"/>
  <c r="L179" i="1"/>
  <c r="I181" i="1"/>
  <c r="L147" i="1"/>
  <c r="I148" i="1"/>
  <c r="L180" i="1"/>
  <c r="I147" i="1"/>
  <c r="E139" i="1"/>
  <c r="L127" i="1"/>
  <c r="I126" i="1"/>
  <c r="G45" i="1"/>
  <c r="L125" i="1"/>
  <c r="G94" i="1"/>
  <c r="G47" i="1"/>
  <c r="G46" i="1"/>
  <c r="A30" i="1"/>
  <c r="A41" i="1" s="1"/>
  <c r="A51" i="1" s="1"/>
  <c r="A65" i="1" s="1"/>
  <c r="G92" i="1"/>
  <c r="G93" i="1"/>
  <c r="I15" i="1"/>
  <c r="G13" i="1"/>
  <c r="G17" i="1" s="1"/>
  <c r="I14" i="1"/>
  <c r="E95" i="1"/>
  <c r="H35" i="1"/>
  <c r="H36" i="1"/>
  <c r="H17" i="1" l="1"/>
  <c r="C38" i="1"/>
  <c r="G56" i="1"/>
  <c r="G61" i="1"/>
  <c r="D118" i="1"/>
  <c r="E103" i="1"/>
  <c r="F57" i="1"/>
  <c r="F58" i="1" s="1"/>
  <c r="E102" i="1"/>
  <c r="F55" i="1"/>
  <c r="E104" i="1"/>
  <c r="F59" i="1"/>
  <c r="F60" i="1" s="1"/>
  <c r="K204" i="1"/>
  <c r="J204" i="1"/>
  <c r="J202" i="1"/>
  <c r="F169" i="1"/>
  <c r="F172" i="1" s="1"/>
  <c r="D215" i="1"/>
  <c r="F214" i="1"/>
  <c r="F215" i="1" s="1"/>
  <c r="I182" i="1"/>
  <c r="E179" i="1"/>
  <c r="E182" i="1" s="1"/>
  <c r="H172" i="1"/>
  <c r="L182" i="1"/>
  <c r="L149" i="1"/>
  <c r="G126" i="1"/>
  <c r="J126" i="1" s="1"/>
  <c r="G147" i="1"/>
  <c r="G127" i="1"/>
  <c r="J127" i="1" s="1"/>
  <c r="G148" i="1"/>
  <c r="G125" i="1"/>
  <c r="J125" i="1" s="1"/>
  <c r="G146" i="1"/>
  <c r="B30" i="1"/>
  <c r="I149" i="1"/>
  <c r="F118" i="1"/>
  <c r="L126" i="1"/>
  <c r="L128" i="1" s="1"/>
  <c r="I127" i="1"/>
  <c r="G102" i="1"/>
  <c r="J102" i="1" s="1"/>
  <c r="I125" i="1"/>
  <c r="G79" i="1"/>
  <c r="G104" i="1"/>
  <c r="J104" i="1" s="1"/>
  <c r="G81" i="1"/>
  <c r="G103" i="1"/>
  <c r="J103" i="1" s="1"/>
  <c r="G80" i="1"/>
  <c r="B41" i="1"/>
  <c r="G95" i="1"/>
  <c r="I13" i="1"/>
  <c r="I17" i="1" s="1"/>
  <c r="F34" i="1"/>
  <c r="G34" i="1"/>
  <c r="F37" i="1" l="1"/>
  <c r="F38" i="1" s="1"/>
  <c r="G37" i="1"/>
  <c r="J106" i="1"/>
  <c r="F56" i="1"/>
  <c r="F61" i="1"/>
  <c r="J205" i="1"/>
  <c r="M204" i="1"/>
  <c r="K102" i="1"/>
  <c r="K148" i="1"/>
  <c r="J148" i="1"/>
  <c r="J179" i="1"/>
  <c r="K179" i="1"/>
  <c r="K180" i="1"/>
  <c r="J180" i="1"/>
  <c r="K181" i="1"/>
  <c r="J181" i="1"/>
  <c r="J147" i="1"/>
  <c r="K147" i="1"/>
  <c r="K146" i="1"/>
  <c r="J146" i="1"/>
  <c r="J128" i="1"/>
  <c r="I128" i="1"/>
  <c r="K104" i="1"/>
  <c r="M104" i="1" s="1"/>
  <c r="K103" i="1"/>
  <c r="M103" i="1" s="1"/>
  <c r="H34" i="1"/>
  <c r="B65" i="1"/>
  <c r="A76" i="1"/>
  <c r="L81" i="1"/>
  <c r="L80" i="1"/>
  <c r="L79" i="1"/>
  <c r="L83" i="1" s="1"/>
  <c r="J81" i="1"/>
  <c r="J80" i="1"/>
  <c r="J79" i="1"/>
  <c r="J83" i="1" s="1"/>
  <c r="I81" i="1"/>
  <c r="I80" i="1"/>
  <c r="I79" i="1"/>
  <c r="I83" i="1" s="1"/>
  <c r="H37" i="1" l="1"/>
  <c r="H38" i="1" s="1"/>
  <c r="G38" i="1"/>
  <c r="M102" i="1"/>
  <c r="M106" i="1" s="1"/>
  <c r="K106" i="1"/>
  <c r="M147" i="1"/>
  <c r="M180" i="1"/>
  <c r="M181" i="1"/>
  <c r="K182" i="1"/>
  <c r="J149" i="1"/>
  <c r="M146" i="1"/>
  <c r="K149" i="1"/>
  <c r="J182" i="1"/>
  <c r="M179" i="1"/>
  <c r="M148" i="1"/>
  <c r="A88" i="1"/>
  <c r="A99" i="1" s="1"/>
  <c r="A111" i="1" s="1"/>
  <c r="A122" i="1" s="1"/>
  <c r="B76" i="1"/>
  <c r="M182" i="1" l="1"/>
  <c r="M149" i="1"/>
  <c r="B111" i="1"/>
  <c r="B88" i="1"/>
  <c r="B99" i="1"/>
  <c r="B122" i="1" l="1"/>
  <c r="A132" i="1"/>
  <c r="A143" i="1" s="1"/>
  <c r="A154" i="1" s="1"/>
  <c r="B154" i="1" l="1"/>
  <c r="A165" i="1"/>
  <c r="B143" i="1"/>
  <c r="B132" i="1"/>
  <c r="B165" i="1" l="1"/>
  <c r="A176" i="1"/>
  <c r="A187" i="1" s="1"/>
  <c r="B187" i="1" l="1"/>
  <c r="A198" i="1"/>
  <c r="A209" i="1" s="1"/>
  <c r="B176" i="1"/>
  <c r="B198" i="1" l="1"/>
  <c r="B209" i="1"/>
  <c r="B51" i="1"/>
  <c r="E70" i="1" l="1"/>
  <c r="G70" i="1" s="1"/>
  <c r="E57" i="1" s="1"/>
  <c r="E58" i="1" s="1"/>
  <c r="E69" i="1"/>
  <c r="E71" i="1"/>
  <c r="G71" i="1" s="1"/>
  <c r="E59" i="1" s="1"/>
  <c r="E60" i="1" s="1"/>
  <c r="E81" i="1" l="1"/>
  <c r="K81" i="1" s="1"/>
  <c r="M81" i="1" s="1"/>
  <c r="E203" i="1"/>
  <c r="K203" i="1" s="1"/>
  <c r="M203" i="1" s="1"/>
  <c r="E80" i="1"/>
  <c r="K80" i="1" s="1"/>
  <c r="M80" i="1" s="1"/>
  <c r="E202" i="1"/>
  <c r="K202" i="1" s="1"/>
  <c r="M202" i="1" s="1"/>
  <c r="G69" i="1"/>
  <c r="E55" i="1" s="1"/>
  <c r="E61" i="1" s="1"/>
  <c r="E72" i="1"/>
  <c r="E56" i="1" l="1"/>
  <c r="E79" i="1"/>
  <c r="K79" i="1" s="1"/>
  <c r="K83" i="1" s="1"/>
  <c r="E201" i="1"/>
  <c r="G72" i="1"/>
  <c r="K127" i="1"/>
  <c r="M127" i="1" s="1"/>
  <c r="K126" i="1"/>
  <c r="M126" i="1" s="1"/>
  <c r="K125" i="1"/>
  <c r="E205" i="1" l="1"/>
  <c r="K201" i="1"/>
  <c r="M79" i="1"/>
  <c r="M83" i="1" s="1"/>
  <c r="K128" i="1"/>
  <c r="M125" i="1"/>
  <c r="M128" i="1" s="1"/>
  <c r="K205" i="1" l="1"/>
  <c r="M201" i="1"/>
  <c r="M20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<sst xmlns="http://schemas.openxmlformats.org/spreadsheetml/2006/main" count="1080" uniqueCount="201">
  <si>
    <t>Revenue</t>
  </si>
  <si>
    <t>Cost</t>
  </si>
  <si>
    <t>Profit</t>
  </si>
  <si>
    <t>Revenue – Cost</t>
  </si>
  <si>
    <t>Gen 1</t>
  </si>
  <si>
    <t>Gen 2</t>
  </si>
  <si>
    <t>Gen 3</t>
  </si>
  <si>
    <t>Total</t>
  </si>
  <si>
    <t>RRP</t>
  </si>
  <si>
    <t>LMP</t>
  </si>
  <si>
    <t>Gen1</t>
  </si>
  <si>
    <t>Gen2</t>
  </si>
  <si>
    <t>Gen3</t>
  </si>
  <si>
    <t>BESS1</t>
  </si>
  <si>
    <t>G</t>
  </si>
  <si>
    <t>G * RRP</t>
  </si>
  <si>
    <t>G * Cost</t>
  </si>
  <si>
    <t>Unit</t>
  </si>
  <si>
    <t>a</t>
  </si>
  <si>
    <t>Congestion price</t>
  </si>
  <si>
    <t>AV</t>
  </si>
  <si>
    <t>Charge = G* (RRP – LMP)</t>
  </si>
  <si>
    <t>k</t>
  </si>
  <si>
    <t>E</t>
  </si>
  <si>
    <t>AV x k</t>
  </si>
  <si>
    <t>A</t>
  </si>
  <si>
    <t>A x a</t>
  </si>
  <si>
    <t>Rebate = E * (RRP - LMP) / a</t>
  </si>
  <si>
    <t>Cost * G</t>
  </si>
  <si>
    <t>k x AV</t>
  </si>
  <si>
    <t>Status quo financial outcomes bidding at the floor price</t>
  </si>
  <si>
    <t>LMP calculation for the three generators</t>
  </si>
  <si>
    <t>Financial outcomes bidding at cost</t>
  </si>
  <si>
    <t>Calculating entitlements under the pro-rata access model</t>
  </si>
  <si>
    <t>Calculating net financial outcomes under the pro-rata access model</t>
  </si>
  <si>
    <t>Calculating net financial outcomes under the pro-rata entitlement model</t>
  </si>
  <si>
    <t>Calculating net financial outcomes under the winner takes all model</t>
  </si>
  <si>
    <t>min (k,a) x AV</t>
  </si>
  <si>
    <t>Goal seek</t>
  </si>
  <si>
    <t>Calculating entitlements under the winner takes all model</t>
  </si>
  <si>
    <t>Calculating entitlements under inferred economic dispatch</t>
  </si>
  <si>
    <t>Calculating net financial outcomes under the inferred economic dispatch model</t>
  </si>
  <si>
    <t>Calculating net financial outcomes under the inferred economic dispatch model (RRP $15/MWh)</t>
  </si>
  <si>
    <t>Calculating entitlements under inferred economic dispatch (RRP $100/MWh)</t>
  </si>
  <si>
    <t>LMP calculation including battery</t>
  </si>
  <si>
    <t>Calculating net financial outcomes with a storage provider using pro rata access method</t>
  </si>
  <si>
    <t>Cost saving for BESS1 accessing LMP</t>
  </si>
  <si>
    <t>Status quo</t>
  </si>
  <si>
    <t>$/MWh</t>
  </si>
  <si>
    <t>CMM</t>
  </si>
  <si>
    <t>Reference price</t>
  </si>
  <si>
    <t>MW</t>
  </si>
  <si>
    <t>$</t>
  </si>
  <si>
    <t>Cost saving</t>
  </si>
  <si>
    <t>Comparison of allocation metrics</t>
  </si>
  <si>
    <t>Entitlements</t>
  </si>
  <si>
    <t>Pro-rata access</t>
  </si>
  <si>
    <t>Pro-rata entitlement</t>
  </si>
  <si>
    <t>Winner takes all</t>
  </si>
  <si>
    <r>
      <t xml:space="preserve">Inferred economic dispatch </t>
    </r>
    <r>
      <rPr>
        <sz val="9"/>
        <color theme="1"/>
        <rFont val="Calibri"/>
        <family val="2"/>
        <scheme val="minor"/>
      </rPr>
      <t>(RRP $15/MWh)</t>
    </r>
  </si>
  <si>
    <t>Gen 4</t>
  </si>
  <si>
    <t>Gen4</t>
  </si>
  <si>
    <t>Demand at node</t>
  </si>
  <si>
    <t>Constraint X</t>
  </si>
  <si>
    <t>#</t>
  </si>
  <si>
    <t>Scenario</t>
  </si>
  <si>
    <t>unavailable</t>
  </si>
  <si>
    <t>Bid – CRM</t>
  </si>
  <si>
    <t>Option</t>
  </si>
  <si>
    <t>Without rounding</t>
  </si>
  <si>
    <t>With rounding</t>
  </si>
  <si>
    <t>Total cost $</t>
  </si>
  <si>
    <t>Units</t>
  </si>
  <si>
    <t>Input</t>
  </si>
  <si>
    <t>Coefficient</t>
  </si>
  <si>
    <t>Operating costs</t>
  </si>
  <si>
    <t>n/a</t>
  </si>
  <si>
    <t>Priority access</t>
  </si>
  <si>
    <t>Battery</t>
  </si>
  <si>
    <t>Directions Paper</t>
  </si>
  <si>
    <t>Page reference</t>
  </si>
  <si>
    <t>Reference scenario</t>
  </si>
  <si>
    <t>p.117 (Box 3)</t>
  </si>
  <si>
    <t>p.119 (Box 4)</t>
  </si>
  <si>
    <t>Out of merit</t>
  </si>
  <si>
    <t>p.121 (Box 5)</t>
  </si>
  <si>
    <t>Bids - energy market</t>
  </si>
  <si>
    <t>Bids - CRM</t>
  </si>
  <si>
    <t>BESS 1 - charge (load)</t>
  </si>
  <si>
    <t>BESS 1 - discharge (generation)</t>
  </si>
  <si>
    <t>p.42-43</t>
  </si>
  <si>
    <t>Energy market profit $</t>
  </si>
  <si>
    <t>CRM profit $</t>
  </si>
  <si>
    <t>Total profit $</t>
  </si>
  <si>
    <t>Coefficients</t>
  </si>
  <si>
    <t>Around constraint</t>
  </si>
  <si>
    <t>p.120</t>
  </si>
  <si>
    <t>OOM included</t>
  </si>
  <si>
    <t>OOM excluded</t>
  </si>
  <si>
    <t xml:space="preserve">There is a CRM settlement residue of </t>
  </si>
  <si>
    <t>which was originally allocated to Gen 3 in the Directions Paper.</t>
  </si>
  <si>
    <t xml:space="preserve">On subsequent review, this is a valid settlement residue that would not be allocated to the generator. </t>
  </si>
  <si>
    <t>True coefficient</t>
  </si>
  <si>
    <t>Via constraint</t>
  </si>
  <si>
    <t>This can happen with or without rounding the coefficients. The calculation tables below provide context within this worked example.</t>
  </si>
  <si>
    <r>
      <t>Without rounding, the constraint is binding (103MW) in the energy market dispatch (G</t>
    </r>
    <r>
      <rPr>
        <b/>
        <vertAlign val="subscript"/>
        <sz val="8"/>
        <color theme="1"/>
        <rFont val="Calibri"/>
        <family val="2"/>
        <scheme val="minor"/>
      </rPr>
      <t>NEM</t>
    </r>
    <r>
      <rPr>
        <b/>
        <sz val="8"/>
        <color theme="1"/>
        <rFont val="Calibri"/>
        <family val="2"/>
        <scheme val="minor"/>
      </rPr>
      <t>) and final dispatch with CRM adjustments (G</t>
    </r>
    <r>
      <rPr>
        <b/>
        <vertAlign val="subscript"/>
        <sz val="8"/>
        <color theme="1"/>
        <rFont val="Calibri"/>
        <family val="2"/>
        <scheme val="minor"/>
      </rPr>
      <t>CRM</t>
    </r>
    <r>
      <rPr>
        <b/>
        <sz val="8"/>
        <color theme="1"/>
        <rFont val="Calibri"/>
        <family val="2"/>
        <scheme val="minor"/>
      </rPr>
      <t>).</t>
    </r>
  </si>
  <si>
    <r>
      <t>G</t>
    </r>
    <r>
      <rPr>
        <vertAlign val="subscript"/>
        <sz val="8"/>
        <color rgb="FFFFFFFF"/>
        <rFont val="Calibri"/>
        <family val="2"/>
        <scheme val="minor"/>
      </rPr>
      <t>NEM</t>
    </r>
    <r>
      <rPr>
        <sz val="8"/>
        <color rgb="FFFFFFFF"/>
        <rFont val="Calibri"/>
        <family val="2"/>
        <scheme val="minor"/>
      </rPr>
      <t xml:space="preserve"> Energy market dispatch (MW)</t>
    </r>
  </si>
  <si>
    <r>
      <t>G</t>
    </r>
    <r>
      <rPr>
        <vertAlign val="subscript"/>
        <sz val="8"/>
        <color rgb="FFFFFFFF"/>
        <rFont val="Calibri"/>
        <family val="2"/>
        <scheme val="minor"/>
      </rPr>
      <t>CRM</t>
    </r>
    <r>
      <rPr>
        <sz val="8"/>
        <color rgb="FFFFFFFF"/>
        <rFont val="Calibri"/>
        <family val="2"/>
        <scheme val="minor"/>
      </rPr>
      <t xml:space="preserve"> Final dispatch incl CRM adjustments (MW)</t>
    </r>
  </si>
  <si>
    <r>
      <t>With rounding (in this example), the constraint is not binding (99MW) in the energy market (G</t>
    </r>
    <r>
      <rPr>
        <b/>
        <vertAlign val="subscript"/>
        <sz val="8"/>
        <color theme="1"/>
        <rFont val="Calibri"/>
        <family val="2"/>
        <scheme val="minor"/>
      </rPr>
      <t>NEM</t>
    </r>
    <r>
      <rPr>
        <b/>
        <sz val="8"/>
        <color theme="1"/>
        <rFont val="Calibri"/>
        <family val="2"/>
        <scheme val="minor"/>
      </rPr>
      <t>) but it is binding (103MW) in the final dispatch with CRM adjustments (G</t>
    </r>
    <r>
      <rPr>
        <b/>
        <vertAlign val="subscript"/>
        <sz val="8"/>
        <color theme="1"/>
        <rFont val="Calibri"/>
        <family val="2"/>
        <scheme val="minor"/>
      </rPr>
      <t>CRM</t>
    </r>
    <r>
      <rPr>
        <b/>
        <sz val="8"/>
        <color theme="1"/>
        <rFont val="Calibri"/>
        <family val="2"/>
        <scheme val="minor"/>
      </rPr>
      <t>).</t>
    </r>
  </si>
  <si>
    <t>Rounded coefficient</t>
  </si>
  <si>
    <t>Assumed energy market dispatch (MW) (not 'True')</t>
  </si>
  <si>
    <r>
      <t xml:space="preserve">The constraint is not binding in the energy market because the dispatch is calculated based on rounded coefficients rather than true coefficients. The constraint </t>
    </r>
    <r>
      <rPr>
        <b/>
        <i/>
        <sz val="8"/>
        <color theme="1"/>
        <rFont val="Calibri"/>
        <family val="2"/>
        <scheme val="minor"/>
      </rPr>
      <t>appears</t>
    </r>
    <r>
      <rPr>
        <b/>
        <sz val="8"/>
        <color theme="1"/>
        <rFont val="Calibri"/>
        <family val="2"/>
        <scheme val="minor"/>
      </rPr>
      <t xml:space="preserve"> to be binding (103MW) when the rounding is applied.</t>
    </r>
  </si>
  <si>
    <t>This is the 'true' coefficient. Refer to 'Rounding' tab for explanation</t>
  </si>
  <si>
    <r>
      <t>G</t>
    </r>
    <r>
      <rPr>
        <b/>
        <vertAlign val="subscript"/>
        <sz val="9"/>
        <color theme="1"/>
        <rFont val="Calibri"/>
        <family val="2"/>
        <scheme val="minor"/>
      </rPr>
      <t>NEM</t>
    </r>
    <r>
      <rPr>
        <b/>
        <sz val="9"/>
        <color theme="1"/>
        <rFont val="Calibri"/>
        <family val="2"/>
        <scheme val="minor"/>
      </rPr>
      <t xml:space="preserve"> Dispatch outcomes - energy market</t>
    </r>
  </si>
  <si>
    <t>GCRM Dispatch outcomes - final with CRM adjustments</t>
  </si>
  <si>
    <t>https://www.datocms-assets.com/32572/1667984730-tar-directions-paper-final-for-web.pdf</t>
  </si>
  <si>
    <t>The ESB released a Directions Paper on Transmission Access reform in November 2022.</t>
  </si>
  <si>
    <t>Refer to link:</t>
  </si>
  <si>
    <t>The Directions Paper included a number of worked examples to illustrate the choices for the Congestion Relief Market (CRM) design.</t>
  </si>
  <si>
    <t>Inputs</t>
  </si>
  <si>
    <t>The worked examples are categorised as scenarios in this document.</t>
  </si>
  <si>
    <t>Rounding constraint coefficients</t>
  </si>
  <si>
    <t>Battery (benefits of storage providing congestion relief)</t>
  </si>
  <si>
    <t>Introduction</t>
  </si>
  <si>
    <t>The workbook provides:</t>
  </si>
  <si>
    <t>Purpose</t>
  </si>
  <si>
    <t>Overview</t>
  </si>
  <si>
    <r>
      <t xml:space="preserve">This workbook </t>
    </r>
    <r>
      <rPr>
        <b/>
        <sz val="11"/>
        <color theme="1"/>
        <rFont val="Calibri"/>
        <family val="2"/>
        <scheme val="minor"/>
      </rPr>
      <t>is not intended</t>
    </r>
    <r>
      <rPr>
        <sz val="11"/>
        <color theme="1"/>
        <rFont val="Calibri"/>
        <family val="2"/>
        <scheme val="minor"/>
      </rPr>
      <t xml:space="preserve"> to be a dynamic model where users can amend inputs to adjust the scenarios.</t>
    </r>
  </si>
  <si>
    <t>This is because a separate 'black box' calculation is performed to identify the lowest cost dispatch outcomes for each scenario.</t>
  </si>
  <si>
    <t>These inputs should not be adjusted otherwise the dispatch outcomes may no longer hold true.</t>
  </si>
  <si>
    <t>On 1 December 2022, the Technical Working Group (TWG) requested the supporting calculations.</t>
  </si>
  <si>
    <t>Dispatch outcomes are provided as an input for the purpose of this simplified spreadsheet rather than an integrated solver.</t>
  </si>
  <si>
    <t>Key</t>
  </si>
  <si>
    <t>DO NOT ADJUST</t>
  </si>
  <si>
    <t>(a) Bidding at cost into the CRM aligns with the worked examples in the Directions Paper.</t>
  </si>
  <si>
    <t>Capacity</t>
  </si>
  <si>
    <t>Input cell - fixed</t>
  </si>
  <si>
    <t>Select from drop down box</t>
  </si>
  <si>
    <t>This is analogous to the dispatch algorithm applied by NEMDE. There are inter-dependencies between the input costs, bids, constraint coefficients, constraint limits, queue positions etc that determine the lowest cost outcomes.</t>
  </si>
  <si>
    <t>Financial outcomes of energy market and CRM, with and without rounding coefficients</t>
  </si>
  <si>
    <t xml:space="preserve">NOTE </t>
  </si>
  <si>
    <t xml:space="preserve">A settlement residue occurs for constraints where LHS_NEM &lt; RHS due to the location of congestion changing between the two dispatches ie the constraint is binding in CRM dispatch but not energy dispatch. </t>
  </si>
  <si>
    <t>This concept of CRM settlement residues and deficits will be explained in a public document (FAQs) to be released in w/c 5 December.</t>
  </si>
  <si>
    <t>Name</t>
  </si>
  <si>
    <t>Bidding</t>
  </si>
  <si>
    <t>Strategic</t>
  </si>
  <si>
    <t>Concatenate</t>
  </si>
  <si>
    <t>LMP - CRM</t>
  </si>
  <si>
    <r>
      <t>G</t>
    </r>
    <r>
      <rPr>
        <vertAlign val="subscript"/>
        <sz val="9"/>
        <color rgb="FFFFFFFF"/>
        <rFont val="Calibri"/>
        <family val="2"/>
        <scheme val="minor"/>
      </rPr>
      <t>NEM</t>
    </r>
  </si>
  <si>
    <r>
      <t>G</t>
    </r>
    <r>
      <rPr>
        <vertAlign val="subscript"/>
        <sz val="9"/>
        <color rgb="FFFFFFFF"/>
        <rFont val="Calibri"/>
        <family val="2"/>
        <scheme val="minor"/>
      </rPr>
      <t>ADJ</t>
    </r>
  </si>
  <si>
    <r>
      <t>G</t>
    </r>
    <r>
      <rPr>
        <vertAlign val="subscript"/>
        <sz val="9"/>
        <color rgb="FFFFFFFF"/>
        <rFont val="Calibri"/>
        <family val="2"/>
        <scheme val="minor"/>
      </rPr>
      <t>CRM</t>
    </r>
  </si>
  <si>
    <t>Select scenario from drop down &gt;&gt;</t>
  </si>
  <si>
    <t>Energy market profit</t>
  </si>
  <si>
    <t>CRM profit</t>
  </si>
  <si>
    <t>Total profit</t>
  </si>
  <si>
    <t>Total cost</t>
  </si>
  <si>
    <t>=revenue - cost</t>
  </si>
  <si>
    <t>Dispatch and financial outcomes for the CRM</t>
  </si>
  <si>
    <t xml:space="preserve">Dispatch and financial outcomes for the energy market </t>
  </si>
  <si>
    <r>
      <t>=RRP x G</t>
    </r>
    <r>
      <rPr>
        <vertAlign val="subscript"/>
        <sz val="9"/>
        <color rgb="FFFFFFFF"/>
        <rFont val="Calibri"/>
        <family val="2"/>
        <scheme val="minor"/>
      </rPr>
      <t>NEM</t>
    </r>
  </si>
  <si>
    <r>
      <t>=cost x G</t>
    </r>
    <r>
      <rPr>
        <vertAlign val="subscript"/>
        <sz val="9"/>
        <color rgb="FFFFFFFF"/>
        <rFont val="Calibri"/>
        <family val="2"/>
        <scheme val="minor"/>
      </rPr>
      <t>NEM</t>
    </r>
  </si>
  <si>
    <r>
      <t>=G</t>
    </r>
    <r>
      <rPr>
        <vertAlign val="subscript"/>
        <sz val="9"/>
        <color rgb="FFFFFFFF"/>
        <rFont val="Calibri"/>
        <family val="2"/>
        <scheme val="minor"/>
      </rPr>
      <t>CRM</t>
    </r>
    <r>
      <rPr>
        <sz val="9"/>
        <color rgb="FFFFFFFF"/>
        <rFont val="Calibri"/>
        <family val="2"/>
        <scheme val="minor"/>
      </rPr>
      <t xml:space="preserve"> - G</t>
    </r>
    <r>
      <rPr>
        <vertAlign val="subscript"/>
        <sz val="9"/>
        <color rgb="FFFFFFFF"/>
        <rFont val="Calibri"/>
        <family val="2"/>
        <scheme val="minor"/>
      </rPr>
      <t>NEM</t>
    </r>
  </si>
  <si>
    <r>
      <t>=LMP x G</t>
    </r>
    <r>
      <rPr>
        <vertAlign val="subscript"/>
        <sz val="9"/>
        <color rgb="FFFFFFFF"/>
        <rFont val="Calibri"/>
        <family val="2"/>
        <scheme val="minor"/>
      </rPr>
      <t>ADJ</t>
    </r>
  </si>
  <si>
    <r>
      <t>=cost x G</t>
    </r>
    <r>
      <rPr>
        <vertAlign val="subscript"/>
        <sz val="9"/>
        <color rgb="FFFFFFFF"/>
        <rFont val="Calibri"/>
        <family val="2"/>
        <scheme val="minor"/>
      </rPr>
      <t>ADJ</t>
    </r>
  </si>
  <si>
    <t>Total for the energy market and CRM</t>
  </si>
  <si>
    <t>Bid – NEM</t>
  </si>
  <si>
    <t>INPUTS TO RESULTS TAB</t>
  </si>
  <si>
    <t>RRP - NEM energy market</t>
  </si>
  <si>
    <t>The scenarios include bidding into the CRM (a) at cost or (b) strategically to increase profits</t>
  </si>
  <si>
    <t>This workbook is provided in response. It also provides additional scenarios where participants bid into the CRM strategically to increase profits (rather than at cost).</t>
  </si>
  <si>
    <t>Select scenario - adjustable</t>
  </si>
  <si>
    <t>Results</t>
  </si>
  <si>
    <t>Note_Rounding</t>
  </si>
  <si>
    <t>Note on results for 'rounding' coefficients.</t>
  </si>
  <si>
    <t>Directions Paper | Box 4 Worked example of rounding constraint coefficients</t>
  </si>
  <si>
    <t>Without rounding constraint coefficients</t>
  </si>
  <si>
    <t>Out of merit included</t>
  </si>
  <si>
    <t>Out of merit excluded</t>
  </si>
  <si>
    <t>Users can select 2 scenarios for comparison purposes</t>
  </si>
  <si>
    <t>p. 42-43 (without priority), p.115 (Box 2)</t>
  </si>
  <si>
    <t xml:space="preserve">(b) Bidding strategically shows how the CRM profits may be shared between participants. Strategic bids are fixed inputs given the inter-dependencies discussed above. </t>
  </si>
  <si>
    <t>CRM bid strategy</t>
  </si>
  <si>
    <t>Directions Paper (CRM bids at cost)</t>
  </si>
  <si>
    <t>INPUTS TO 'BLACK BOX' - FOR REFERENCE</t>
  </si>
  <si>
    <t>$1,062 Directions Paper (Gen 3 profit with rounding) Refer to note</t>
  </si>
  <si>
    <t>The table below captures the outcomes of Scenario 6 Without rounding and Scenario 8 With rounding.</t>
  </si>
  <si>
    <t>No change in CRM bids for 'cost' and 'strategic'. The coefficient differences between Gen 2 and Gen 3 are negligible and hence strategic bidding leads to changes in dispatch outcomes.</t>
  </si>
  <si>
    <t>Directions Paper reference</t>
  </si>
  <si>
    <t>2 Priority access Cost</t>
  </si>
  <si>
    <t>Reference to input cell</t>
  </si>
  <si>
    <t xml:space="preserve">Settlement calculation cell </t>
  </si>
  <si>
    <t>Password protected</t>
  </si>
  <si>
    <t>Input variables for reference</t>
  </si>
  <si>
    <t>Ratio</t>
  </si>
  <si>
    <t>Queue position</t>
  </si>
  <si>
    <t>Constraint coefficient (true)</t>
  </si>
  <si>
    <t>Constraint coefficient (rounded)</t>
  </si>
  <si>
    <t>Rounding differences in Directions Paper</t>
  </si>
  <si>
    <t>No 'strategic bidding' scenario provided given there is no CRM adjustment in the reference scenario i.e. no difference if bidding is at cost or strategic</t>
  </si>
  <si>
    <t>Equivalent to OOM example for status quo (Box 5)</t>
  </si>
  <si>
    <t>12 OOM excluded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</si>
</sst>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_-;\-* #,##0.0_-;_-* &quot;-&quot;??_-;_-@_-"/>
    <numFmt numFmtId="166" formatCode="_-* #,##0_-;\-* #,##0_-;_-* &quot;-&quot;??_-;_-@_-"/>
    <numFmt numFmtId="167" formatCode="#,##0_ ;\(#,##0\)"/>
    <numFmt numFmtId="168" formatCode="_-* #,##0.0_-;\-* #,##0.0_-"/>
    <numFmt numFmtId="169" formatCode="_-* #,##0_-;\-* #,##0_-"/>
    <numFmt numFmtId="170" formatCode="_-&quot;$&quot;* #,##0_-;\-&quot;$&quot;* #,##0_-;_-&quot;$&quot;* &quot;-&quot;??_-;_-@_-"/>
    <numFmt numFmtId="171" formatCode="#,##0.0000;\-#,##0.0000"/>
    <numFmt numFmtId="172" formatCode="_-* #,##0.0_-;\-* #,##0.0_-;"/>
    <numFmt numFmtId="173" formatCode="#,##0.0;[Red]\-#,##0.0"/>
    <numFmt numFmtId="174" formatCode="#,##0.0000;[Red]\-#,##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rgb="FFFFFFFF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FF"/>
      <name val="Calibri"/>
      <family val="2"/>
      <scheme val="minor"/>
    </font>
    <font>
      <i/>
      <sz val="9"/>
      <color rgb="FFFFFFFF"/>
      <name val="Calibri"/>
      <family val="2"/>
      <scheme val="minor"/>
    </font>
    <font>
      <vertAlign val="subscript"/>
      <sz val="9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243F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7F7F7F"/>
      </right>
      <top/>
      <bottom style="dotted">
        <color rgb="FF7F7F7F"/>
      </bottom>
      <diagonal/>
    </border>
    <border>
      <left/>
      <right style="dotted">
        <color rgb="FF7F7F7F"/>
      </right>
      <top/>
      <bottom style="medium">
        <color indexed="64"/>
      </bottom>
      <diagonal/>
    </border>
    <border>
      <left/>
      <right style="dotted">
        <color rgb="FF7F7F7F"/>
      </right>
      <top style="dotted">
        <color rgb="FF7F7F7F"/>
      </top>
      <bottom/>
      <diagonal/>
    </border>
    <border>
      <left style="dotted">
        <color rgb="FF7F7F7F"/>
      </left>
      <right/>
      <top style="dotted">
        <color rgb="FF7F7F7F"/>
      </top>
      <bottom/>
      <diagonal/>
    </border>
    <border>
      <left/>
      <right/>
      <top style="dotted">
        <color rgb="FF7F7F7F"/>
      </top>
      <bottom style="medium">
        <color indexed="64"/>
      </bottom>
      <diagonal/>
    </border>
    <border>
      <left/>
      <right style="dotted">
        <color rgb="FF7F7F7F"/>
      </right>
      <top style="dotted">
        <color rgb="FF7F7F7F"/>
      </top>
      <bottom style="medium">
        <color indexed="64"/>
      </bottom>
      <diagonal/>
    </border>
    <border>
      <left style="dotted">
        <color rgb="FF7F7F7F"/>
      </left>
      <right/>
      <top style="dotted">
        <color rgb="FF7F7F7F"/>
      </top>
      <bottom style="medium">
        <color indexed="64"/>
      </bottom>
      <diagonal/>
    </border>
    <border>
      <left/>
      <right/>
      <top style="dotted">
        <color rgb="FF7F7F7F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67">
    <xf numFmtId="0" fontId="0" fillId="0" borderId="0" xfId="0"/>
    <xf numFmtId="164" fontId="2" fillId="0" borderId="0" xfId="1" applyNumberFormat="1" applyFont="1"/>
    <xf numFmtId="43" fontId="2" fillId="0" borderId="0" xfId="1" applyNumberFormat="1" applyFont="1"/>
    <xf numFmtId="43" fontId="2" fillId="0" borderId="3" xfId="1" applyNumberFormat="1" applyFont="1" applyBorder="1" applyAlignment="1">
      <alignment horizontal="center" vertical="center" wrapText="1"/>
    </xf>
    <xf numFmtId="43" fontId="2" fillId="0" borderId="4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6" fontId="2" fillId="0" borderId="0" xfId="1" applyNumberFormat="1" applyFont="1"/>
    <xf numFmtId="166" fontId="3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6" fontId="0" fillId="0" borderId="0" xfId="1" applyNumberFormat="1" applyFont="1"/>
    <xf numFmtId="166" fontId="3" fillId="0" borderId="3" xfId="1" applyNumberFormat="1" applyFont="1" applyBorder="1" applyAlignment="1">
      <alignment horizontal="center" vertical="center" wrapText="1"/>
    </xf>
    <xf numFmtId="166" fontId="3" fillId="0" borderId="4" xfId="1" applyNumberFormat="1" applyFont="1" applyBorder="1" applyAlignment="1">
      <alignment horizontal="center" vertical="center" wrapText="1"/>
    </xf>
    <xf numFmtId="166" fontId="3" fillId="0" borderId="0" xfId="1" applyNumberFormat="1" applyFont="1"/>
    <xf numFmtId="9" fontId="2" fillId="0" borderId="0" xfId="2" applyFont="1"/>
    <xf numFmtId="43" fontId="3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4" xfId="1" applyNumberFormat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0" fillId="0" borderId="0" xfId="1" applyNumberFormat="1" applyFont="1"/>
    <xf numFmtId="166" fontId="2" fillId="0" borderId="0" xfId="1" applyNumberFormat="1" applyFont="1" applyAlignment="1">
      <alignment horizontal="right"/>
    </xf>
    <xf numFmtId="43" fontId="2" fillId="0" borderId="0" xfId="1" applyFont="1"/>
    <xf numFmtId="166" fontId="2" fillId="0" borderId="0" xfId="1" applyNumberFormat="1" applyFont="1" applyAlignment="1">
      <alignment wrapText="1"/>
    </xf>
    <xf numFmtId="166" fontId="2" fillId="0" borderId="5" xfId="1" applyNumberFormat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165" fontId="2" fillId="0" borderId="4" xfId="1" applyNumberFormat="1" applyFont="1" applyBorder="1" applyAlignment="1">
      <alignment horizontal="center" vertical="center" wrapText="1"/>
    </xf>
    <xf numFmtId="166" fontId="2" fillId="3" borderId="0" xfId="1" applyNumberFormat="1" applyFont="1" applyFill="1"/>
    <xf numFmtId="166" fontId="3" fillId="3" borderId="0" xfId="1" applyNumberFormat="1" applyFont="1" applyFill="1"/>
    <xf numFmtId="166" fontId="4" fillId="3" borderId="0" xfId="1" applyNumberFormat="1" applyFont="1" applyFill="1"/>
    <xf numFmtId="0" fontId="5" fillId="4" borderId="8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37" fontId="9" fillId="0" borderId="9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167" fontId="6" fillId="0" borderId="14" xfId="0" applyNumberFormat="1" applyFont="1" applyBorder="1" applyAlignment="1">
      <alignment horizontal="right" vertical="center" wrapText="1"/>
    </xf>
    <xf numFmtId="37" fontId="6" fillId="0" borderId="10" xfId="0" applyNumberFormat="1" applyFont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10" fillId="0" borderId="0" xfId="0" applyFont="1"/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/>
    </xf>
    <xf numFmtId="166" fontId="8" fillId="0" borderId="0" xfId="1" applyNumberFormat="1" applyFont="1"/>
    <xf numFmtId="0" fontId="6" fillId="0" borderId="0" xfId="0" applyFont="1"/>
    <xf numFmtId="166" fontId="6" fillId="0" borderId="0" xfId="1" applyNumberFormat="1" applyFont="1"/>
    <xf numFmtId="43" fontId="6" fillId="0" borderId="0" xfId="1" applyNumberFormat="1" applyFont="1"/>
    <xf numFmtId="0" fontId="8" fillId="0" borderId="13" xfId="0" applyFont="1" applyBorder="1" applyAlignment="1">
      <alignment horizontal="right" vertical="center" wrapText="1"/>
    </xf>
    <xf numFmtId="0" fontId="8" fillId="0" borderId="0" xfId="0" applyFont="1"/>
    <xf numFmtId="37" fontId="6" fillId="0" borderId="15" xfId="0" applyNumberFormat="1" applyFont="1" applyBorder="1" applyAlignment="1">
      <alignment horizontal="right" vertical="center" wrapText="1"/>
    </xf>
    <xf numFmtId="167" fontId="6" fillId="0" borderId="16" xfId="0" applyNumberFormat="1" applyFont="1" applyBorder="1" applyAlignment="1">
      <alignment horizontal="right" vertical="center" wrapText="1"/>
    </xf>
    <xf numFmtId="166" fontId="11" fillId="5" borderId="0" xfId="1" applyNumberFormat="1" applyFont="1" applyFill="1"/>
    <xf numFmtId="0" fontId="11" fillId="5" borderId="0" xfId="0" applyFont="1" applyFill="1"/>
    <xf numFmtId="0" fontId="3" fillId="3" borderId="0" xfId="0" applyFont="1" applyFill="1"/>
    <xf numFmtId="0" fontId="2" fillId="3" borderId="0" xfId="0" applyFont="1" applyFill="1"/>
    <xf numFmtId="166" fontId="2" fillId="3" borderId="0" xfId="1" applyNumberFormat="1" applyFont="1" applyFill="1" applyBorder="1"/>
    <xf numFmtId="0" fontId="8" fillId="0" borderId="0" xfId="0" applyFont="1" applyAlignment="1">
      <alignment horizontal="right"/>
    </xf>
    <xf numFmtId="166" fontId="6" fillId="3" borderId="0" xfId="1" applyNumberFormat="1" applyFont="1" applyFill="1"/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right" vertical="center" wrapText="1"/>
    </xf>
    <xf numFmtId="43" fontId="6" fillId="3" borderId="0" xfId="1" applyNumberFormat="1" applyFont="1" applyFill="1"/>
    <xf numFmtId="0" fontId="6" fillId="0" borderId="0" xfId="0" applyFont="1" applyBorder="1" applyAlignment="1">
      <alignment horizontal="left" vertical="center"/>
    </xf>
    <xf numFmtId="170" fontId="6" fillId="0" borderId="0" xfId="3" applyNumberFormat="1" applyFont="1" applyBorder="1" applyAlignment="1">
      <alignment horizontal="right" vertical="center" wrapText="1" indent="2"/>
    </xf>
    <xf numFmtId="171" fontId="6" fillId="0" borderId="10" xfId="0" applyNumberFormat="1" applyFont="1" applyBorder="1" applyAlignment="1">
      <alignment horizontal="right" vertical="center" wrapText="1"/>
    </xf>
    <xf numFmtId="171" fontId="6" fillId="0" borderId="15" xfId="0" applyNumberFormat="1" applyFont="1" applyBorder="1" applyAlignment="1">
      <alignment horizontal="right" vertical="center" wrapText="1"/>
    </xf>
    <xf numFmtId="0" fontId="9" fillId="0" borderId="0" xfId="0" applyFont="1"/>
    <xf numFmtId="172" fontId="8" fillId="0" borderId="13" xfId="1" applyNumberFormat="1" applyFont="1" applyBorder="1" applyAlignment="1">
      <alignment horizontal="right" vertical="center" wrapText="1"/>
    </xf>
    <xf numFmtId="172" fontId="8" fillId="0" borderId="17" xfId="1" applyNumberFormat="1" applyFont="1" applyBorder="1" applyAlignment="1">
      <alignment horizontal="right" vertical="center" wrapText="1"/>
    </xf>
    <xf numFmtId="172" fontId="8" fillId="0" borderId="12" xfId="1" applyNumberFormat="1" applyFont="1" applyBorder="1" applyAlignment="1">
      <alignment horizontal="right" vertical="center" wrapText="1"/>
    </xf>
    <xf numFmtId="168" fontId="6" fillId="0" borderId="8" xfId="1" applyNumberFormat="1" applyFont="1" applyBorder="1" applyAlignment="1">
      <alignment horizontal="right" vertical="center" wrapText="1"/>
    </xf>
    <xf numFmtId="168" fontId="6" fillId="0" borderId="10" xfId="1" applyNumberFormat="1" applyFont="1" applyBorder="1" applyAlignment="1">
      <alignment horizontal="right" vertical="center" wrapText="1"/>
    </xf>
    <xf numFmtId="168" fontId="6" fillId="0" borderId="16" xfId="1" applyNumberFormat="1" applyFont="1" applyBorder="1" applyAlignment="1">
      <alignment horizontal="right" vertical="center" wrapText="1"/>
    </xf>
    <xf numFmtId="168" fontId="6" fillId="0" borderId="14" xfId="1" applyNumberFormat="1" applyFont="1" applyBorder="1" applyAlignment="1">
      <alignment horizontal="right" vertical="center" wrapText="1"/>
    </xf>
    <xf numFmtId="168" fontId="6" fillId="0" borderId="15" xfId="1" applyNumberFormat="1" applyFont="1" applyBorder="1" applyAlignment="1">
      <alignment horizontal="right" vertical="center" wrapText="1"/>
    </xf>
    <xf numFmtId="169" fontId="9" fillId="0" borderId="9" xfId="1" applyNumberFormat="1" applyFont="1" applyBorder="1" applyAlignment="1">
      <alignment horizontal="right" vertical="center" wrapText="1"/>
    </xf>
    <xf numFmtId="169" fontId="9" fillId="6" borderId="9" xfId="1" applyNumberFormat="1" applyFont="1" applyFill="1" applyBorder="1" applyAlignment="1">
      <alignment horizontal="right" vertical="center" wrapText="1"/>
    </xf>
    <xf numFmtId="166" fontId="17" fillId="5" borderId="0" xfId="1" applyNumberFormat="1" applyFont="1" applyFill="1"/>
    <xf numFmtId="0" fontId="17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left" vertical="center"/>
    </xf>
    <xf numFmtId="3" fontId="17" fillId="5" borderId="0" xfId="0" applyNumberFormat="1" applyFont="1" applyFill="1" applyBorder="1" applyAlignment="1">
      <alignment horizontal="right" vertical="center" wrapText="1"/>
    </xf>
    <xf numFmtId="166" fontId="19" fillId="5" borderId="0" xfId="1" applyNumberFormat="1" applyFont="1" applyFill="1"/>
    <xf numFmtId="43" fontId="19" fillId="5" borderId="0" xfId="1" applyNumberFormat="1" applyFont="1" applyFill="1"/>
    <xf numFmtId="166" fontId="8" fillId="3" borderId="0" xfId="1" applyNumberFormat="1" applyFont="1" applyFill="1"/>
    <xf numFmtId="169" fontId="9" fillId="7" borderId="9" xfId="1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12" fillId="0" borderId="0" xfId="4"/>
    <xf numFmtId="0" fontId="23" fillId="0" borderId="0" xfId="0" applyFont="1"/>
    <xf numFmtId="0" fontId="14" fillId="5" borderId="0" xfId="0" applyFont="1" applyFill="1"/>
    <xf numFmtId="0" fontId="0" fillId="0" borderId="18" xfId="0" applyFont="1" applyBorder="1"/>
    <xf numFmtId="0" fontId="0" fillId="0" borderId="18" xfId="0" applyBorder="1"/>
    <xf numFmtId="0" fontId="0" fillId="0" borderId="19" xfId="0" applyFont="1" applyBorder="1"/>
    <xf numFmtId="0" fontId="0" fillId="0" borderId="19" xfId="0" applyBorder="1"/>
    <xf numFmtId="0" fontId="12" fillId="0" borderId="0" xfId="4" quotePrefix="1"/>
    <xf numFmtId="0" fontId="13" fillId="0" borderId="0" xfId="0" applyFont="1"/>
    <xf numFmtId="0" fontId="0" fillId="2" borderId="7" xfId="0" applyFont="1" applyFill="1" applyBorder="1"/>
    <xf numFmtId="166" fontId="24" fillId="9" borderId="7" xfId="1" applyNumberFormat="1" applyFont="1" applyFill="1" applyBorder="1"/>
    <xf numFmtId="0" fontId="3" fillId="8" borderId="0" xfId="0" applyFont="1" applyFill="1"/>
    <xf numFmtId="0" fontId="2" fillId="8" borderId="0" xfId="0" applyFont="1" applyFill="1"/>
    <xf numFmtId="0" fontId="2" fillId="2" borderId="0" xfId="0" applyFont="1" applyFill="1"/>
    <xf numFmtId="166" fontId="11" fillId="5" borderId="0" xfId="1" applyNumberFormat="1" applyFont="1" applyFill="1" applyAlignment="1"/>
    <xf numFmtId="0" fontId="11" fillId="5" borderId="0" xfId="0" applyFont="1" applyFill="1" applyAlignment="1"/>
    <xf numFmtId="1" fontId="11" fillId="5" borderId="0" xfId="1" applyNumberFormat="1" applyFont="1" applyFill="1" applyAlignment="1">
      <alignment horizontal="left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5" fillId="4" borderId="0" xfId="0" quotePrefix="1" applyFont="1" applyFill="1" applyAlignment="1">
      <alignment horizontal="center" vertical="center" wrapText="1"/>
    </xf>
    <xf numFmtId="166" fontId="2" fillId="3" borderId="20" xfId="1" applyNumberFormat="1" applyFont="1" applyFill="1" applyBorder="1"/>
    <xf numFmtId="0" fontId="2" fillId="0" borderId="0" xfId="0" applyFont="1" applyFill="1"/>
    <xf numFmtId="166" fontId="3" fillId="3" borderId="0" xfId="1" quotePrefix="1" applyNumberFormat="1" applyFont="1" applyFill="1"/>
    <xf numFmtId="0" fontId="2" fillId="9" borderId="0" xfId="0" applyFont="1" applyFill="1"/>
    <xf numFmtId="0" fontId="0" fillId="10" borderId="7" xfId="0" applyFont="1" applyFill="1" applyBorder="1"/>
    <xf numFmtId="0" fontId="4" fillId="0" borderId="0" xfId="0" applyFont="1" applyFill="1"/>
    <xf numFmtId="0" fontId="0" fillId="11" borderId="7" xfId="0" applyFont="1" applyFill="1" applyBorder="1"/>
    <xf numFmtId="38" fontId="2" fillId="10" borderId="7" xfId="0" applyNumberFormat="1" applyFont="1" applyFill="1" applyBorder="1"/>
    <xf numFmtId="38" fontId="2" fillId="10" borderId="7" xfId="0" applyNumberFormat="1" applyFont="1" applyFill="1" applyBorder="1" applyAlignment="1">
      <alignment horizontal="right"/>
    </xf>
    <xf numFmtId="38" fontId="2" fillId="10" borderId="7" xfId="1" applyNumberFormat="1" applyFont="1" applyFill="1" applyBorder="1"/>
    <xf numFmtId="38" fontId="2" fillId="11" borderId="7" xfId="1" applyNumberFormat="1" applyFont="1" applyFill="1" applyBorder="1"/>
    <xf numFmtId="38" fontId="2" fillId="0" borderId="7" xfId="1" applyNumberFormat="1" applyFont="1" applyBorder="1"/>
    <xf numFmtId="38" fontId="3" fillId="11" borderId="7" xfId="1" applyNumberFormat="1" applyFont="1" applyFill="1" applyBorder="1"/>
    <xf numFmtId="38" fontId="2" fillId="11" borderId="7" xfId="0" applyNumberFormat="1" applyFont="1" applyFill="1" applyBorder="1"/>
    <xf numFmtId="38" fontId="2" fillId="11" borderId="7" xfId="0" applyNumberFormat="1" applyFont="1" applyFill="1" applyBorder="1" applyAlignment="1">
      <alignment horizontal="right"/>
    </xf>
    <xf numFmtId="38" fontId="3" fillId="11" borderId="7" xfId="0" applyNumberFormat="1" applyFont="1" applyFill="1" applyBorder="1"/>
    <xf numFmtId="38" fontId="2" fillId="2" borderId="7" xfId="1" applyNumberFormat="1" applyFont="1" applyFill="1" applyBorder="1" applyAlignment="1">
      <alignment horizontal="right" vertical="center" wrapText="1"/>
    </xf>
    <xf numFmtId="38" fontId="2" fillId="2" borderId="7" xfId="1" applyNumberFormat="1" applyFont="1" applyFill="1" applyBorder="1"/>
    <xf numFmtId="38" fontId="2" fillId="0" borderId="0" xfId="1" applyNumberFormat="1" applyFont="1" applyFill="1" applyBorder="1" applyAlignment="1">
      <alignment horizontal="right" vertical="center" wrapText="1"/>
    </xf>
    <xf numFmtId="38" fontId="2" fillId="0" borderId="0" xfId="0" applyNumberFormat="1" applyFont="1"/>
    <xf numFmtId="38" fontId="2" fillId="0" borderId="0" xfId="1" applyNumberFormat="1" applyFont="1"/>
    <xf numFmtId="38" fontId="4" fillId="0" borderId="0" xfId="0" applyNumberFormat="1" applyFont="1"/>
    <xf numFmtId="38" fontId="2" fillId="8" borderId="0" xfId="0" applyNumberFormat="1" applyFont="1" applyFill="1"/>
    <xf numFmtId="38" fontId="0" fillId="0" borderId="0" xfId="0" applyNumberFormat="1"/>
    <xf numFmtId="38" fontId="2" fillId="0" borderId="0" xfId="0" applyNumberFormat="1" applyFont="1" applyFill="1"/>
    <xf numFmtId="173" fontId="2" fillId="2" borderId="7" xfId="1" applyNumberFormat="1" applyFont="1" applyFill="1" applyBorder="1" applyAlignment="1">
      <alignment horizontal="right" vertical="center" wrapText="1"/>
    </xf>
    <xf numFmtId="173" fontId="2" fillId="0" borderId="0" xfId="1" applyNumberFormat="1" applyFont="1" applyFill="1" applyBorder="1" applyAlignment="1">
      <alignment horizontal="right" vertical="center" wrapText="1"/>
    </xf>
    <xf numFmtId="40" fontId="2" fillId="2" borderId="7" xfId="1" applyNumberFormat="1" applyFont="1" applyFill="1" applyBorder="1" applyAlignment="1">
      <alignment horizontal="right" vertical="center" wrapText="1"/>
    </xf>
    <xf numFmtId="40" fontId="2" fillId="0" borderId="0" xfId="1" applyNumberFormat="1" applyFont="1" applyFill="1" applyBorder="1" applyAlignment="1">
      <alignment horizontal="right" vertical="center" wrapText="1"/>
    </xf>
    <xf numFmtId="173" fontId="2" fillId="2" borderId="7" xfId="0" applyNumberFormat="1" applyFont="1" applyFill="1" applyBorder="1"/>
    <xf numFmtId="173" fontId="2" fillId="2" borderId="7" xfId="1" applyNumberFormat="1" applyFont="1" applyFill="1" applyBorder="1"/>
    <xf numFmtId="173" fontId="2" fillId="2" borderId="7" xfId="1" applyNumberFormat="1" applyFont="1" applyFill="1" applyBorder="1" applyAlignment="1">
      <alignment horizontal="left" indent="1"/>
    </xf>
    <xf numFmtId="173" fontId="2" fillId="0" borderId="0" xfId="0" applyNumberFormat="1" applyFont="1"/>
    <xf numFmtId="173" fontId="2" fillId="0" borderId="0" xfId="1" applyNumberFormat="1" applyFont="1"/>
    <xf numFmtId="173" fontId="2" fillId="10" borderId="7" xfId="1" applyNumberFormat="1" applyFont="1" applyFill="1" applyBorder="1"/>
    <xf numFmtId="173" fontId="2" fillId="10" borderId="7" xfId="1" applyNumberFormat="1" applyFont="1" applyFill="1" applyBorder="1" applyAlignment="1">
      <alignment horizontal="right"/>
    </xf>
    <xf numFmtId="40" fontId="2" fillId="10" borderId="7" xfId="1" applyNumberFormat="1" applyFont="1" applyFill="1" applyBorder="1"/>
    <xf numFmtId="40" fontId="2" fillId="10" borderId="7" xfId="1" applyNumberFormat="1" applyFont="1" applyFill="1" applyBorder="1" applyAlignment="1">
      <alignment horizontal="right"/>
    </xf>
    <xf numFmtId="40" fontId="2" fillId="0" borderId="7" xfId="1" applyNumberFormat="1" applyFont="1" applyBorder="1"/>
    <xf numFmtId="173" fontId="3" fillId="0" borderId="7" xfId="1" applyNumberFormat="1" applyFont="1" applyBorder="1"/>
    <xf numFmtId="174" fontId="2" fillId="10" borderId="7" xfId="0" applyNumberFormat="1" applyFont="1" applyFill="1" applyBorder="1"/>
    <xf numFmtId="174" fontId="2" fillId="2" borderId="7" xfId="1" applyNumberFormat="1" applyFont="1" applyFill="1" applyBorder="1" applyAlignment="1">
      <alignment horizontal="right" vertical="center" wrapText="1"/>
    </xf>
    <xf numFmtId="174" fontId="2" fillId="2" borderId="7" xfId="1" applyNumberFormat="1" applyFont="1" applyFill="1" applyBorder="1"/>
    <xf numFmtId="174" fontId="2" fillId="0" borderId="0" xfId="1" applyNumberFormat="1" applyFont="1" applyFill="1" applyBorder="1" applyAlignment="1">
      <alignment horizontal="right" vertical="center" wrapText="1"/>
    </xf>
    <xf numFmtId="40" fontId="2" fillId="10" borderId="7" xfId="0" applyNumberFormat="1" applyFont="1" applyFill="1" applyBorder="1" applyAlignment="1">
      <alignment horizontal="right"/>
    </xf>
    <xf numFmtId="174" fontId="2" fillId="10" borderId="7" xfId="0" applyNumberFormat="1" applyFont="1" applyFill="1" applyBorder="1" applyAlignment="1">
      <alignment horizontal="right"/>
    </xf>
    <xf numFmtId="0" fontId="2" fillId="10" borderId="21" xfId="0" applyFont="1" applyFill="1" applyBorder="1" applyAlignment="1"/>
    <xf numFmtId="0" fontId="2" fillId="10" borderId="22" xfId="0" applyFont="1" applyFill="1" applyBorder="1" applyAlignment="1"/>
    <xf numFmtId="0" fontId="3" fillId="0" borderId="0" xfId="0" applyFont="1" applyAlignment="1">
      <alignment wrapText="1"/>
    </xf>
    <xf numFmtId="0" fontId="5" fillId="4" borderId="8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61">
    <dxf>
      <font>
        <color rgb="FF008000"/>
      </font>
    </dxf>
    <dxf>
      <font>
        <color rgb="FF008000"/>
      </font>
    </dxf>
    <dxf>
      <font>
        <color rgb="FFFF0000"/>
      </font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1" tint="0.49998474074526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  <dxf>
      <font>
        <color theme="0" tint="-0.499984740745262"/>
      </font>
      <fill>
        <patternFill patternType="lightUp">
          <fgColor theme="2"/>
        </patternFill>
      </fill>
    </dxf>
  </dxfs>
  <tableStyles count="0" defaultTableStyle="TableStyleMedium2" defaultPivotStyle="PivotStyleLight16"/>
  <colors>
    <mruColors>
      <color rgb="FFFFFFCC"/>
      <color rgb="FF243F60"/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ocms-assets.com/32572/1667984730-tar-directions-paper-final-for-we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2BE3-81D6-418D-8C65-577EC748D597}">
  <sheetPr>
    <tabColor rgb="FF243F60"/>
  </sheetPr>
  <dimension ref="B1:K51"/>
  <sheetViews>
    <sheetView showGridLines="0" tabSelected="1" zoomScale="80" zoomScaleNormal="80" workbookViewId="0"/>
  </sheetViews>
  <sheetFormatPr defaultRowHeight="14.5" zeroHeight="1" x14ac:dyDescent="0.35"/>
  <cols>
    <col min="7" max="7" width="10.81640625" customWidth="1"/>
    <col min="8" max="8" width="14.90625" customWidth="1"/>
    <col min="10" max="10" width="34.1796875" customWidth="1"/>
  </cols>
  <sheetData>
    <row r="1" spans="2:4" x14ac:dyDescent="0.35"/>
    <row r="2" spans="2:4" x14ac:dyDescent="0.35">
      <c r="B2" s="105" t="s">
        <v>123</v>
      </c>
    </row>
    <row r="3" spans="2:4" x14ac:dyDescent="0.35">
      <c r="B3" t="s">
        <v>116</v>
      </c>
    </row>
    <row r="4" spans="2:4" x14ac:dyDescent="0.35">
      <c r="B4" t="s">
        <v>117</v>
      </c>
      <c r="D4" s="97" t="s">
        <v>115</v>
      </c>
    </row>
    <row r="5" spans="2:4" x14ac:dyDescent="0.35"/>
    <row r="6" spans="2:4" x14ac:dyDescent="0.35">
      <c r="B6" s="105" t="s">
        <v>125</v>
      </c>
    </row>
    <row r="7" spans="2:4" x14ac:dyDescent="0.35">
      <c r="B7" t="s">
        <v>118</v>
      </c>
    </row>
    <row r="8" spans="2:4" x14ac:dyDescent="0.35">
      <c r="B8" t="s">
        <v>130</v>
      </c>
    </row>
    <row r="9" spans="2:4" x14ac:dyDescent="0.35">
      <c r="B9" t="s">
        <v>169</v>
      </c>
    </row>
    <row r="10" spans="2:4" x14ac:dyDescent="0.35"/>
    <row r="11" spans="2:4" x14ac:dyDescent="0.35">
      <c r="B11" t="s">
        <v>127</v>
      </c>
    </row>
    <row r="12" spans="2:4" x14ac:dyDescent="0.35">
      <c r="B12" t="s">
        <v>128</v>
      </c>
    </row>
    <row r="13" spans="2:4" x14ac:dyDescent="0.35">
      <c r="B13" t="s">
        <v>138</v>
      </c>
    </row>
    <row r="14" spans="2:4" x14ac:dyDescent="0.35">
      <c r="B14" t="s">
        <v>131</v>
      </c>
    </row>
    <row r="15" spans="2:4" x14ac:dyDescent="0.35">
      <c r="B15" t="s">
        <v>129</v>
      </c>
    </row>
    <row r="16" spans="2:4" x14ac:dyDescent="0.35"/>
    <row r="17" spans="2:11" x14ac:dyDescent="0.35">
      <c r="B17" s="105" t="s">
        <v>126</v>
      </c>
    </row>
    <row r="18" spans="2:11" x14ac:dyDescent="0.35">
      <c r="B18" t="s">
        <v>120</v>
      </c>
    </row>
    <row r="19" spans="2:11" x14ac:dyDescent="0.35"/>
    <row r="20" spans="2:11" x14ac:dyDescent="0.35">
      <c r="B20" s="99" t="s">
        <v>65</v>
      </c>
      <c r="C20" s="99"/>
      <c r="D20" s="99"/>
      <c r="E20" s="99"/>
      <c r="F20" s="99"/>
      <c r="G20" s="99"/>
      <c r="H20" s="99" t="s">
        <v>181</v>
      </c>
      <c r="I20" s="99"/>
      <c r="J20" s="99" t="s">
        <v>182</v>
      </c>
    </row>
    <row r="21" spans="2:11" x14ac:dyDescent="0.35">
      <c r="B21" s="101">
        <v>1</v>
      </c>
      <c r="C21" s="100" t="s">
        <v>81</v>
      </c>
      <c r="D21" s="101"/>
      <c r="E21" s="101"/>
      <c r="F21" s="101"/>
      <c r="G21" s="101"/>
      <c r="H21" s="101" t="s">
        <v>1</v>
      </c>
      <c r="I21" s="101"/>
      <c r="J21" s="101" t="str">
        <f>Inputs!D6</f>
        <v>p. 42-43 (without priority), p.115 (Box 2)</v>
      </c>
      <c r="K21" s="98" t="s">
        <v>198</v>
      </c>
    </row>
    <row r="22" spans="2:11" x14ac:dyDescent="0.35">
      <c r="B22" s="101">
        <f>B21+1</f>
        <v>2</v>
      </c>
      <c r="C22" s="102" t="s">
        <v>77</v>
      </c>
      <c r="D22" s="103"/>
      <c r="E22" s="103"/>
      <c r="F22" s="103"/>
      <c r="G22" s="103"/>
      <c r="H22" s="101" t="s">
        <v>1</v>
      </c>
      <c r="I22" s="103"/>
      <c r="J22" s="103" t="str">
        <f>Inputs!E6</f>
        <v>p.42-43</v>
      </c>
    </row>
    <row r="23" spans="2:11" x14ac:dyDescent="0.35">
      <c r="B23" s="101">
        <f t="shared" ref="B23:B33" si="0">B22+1</f>
        <v>3</v>
      </c>
      <c r="C23" s="102"/>
      <c r="D23" s="103"/>
      <c r="E23" s="103"/>
      <c r="F23" s="103"/>
      <c r="G23" s="103"/>
      <c r="H23" s="101" t="s">
        <v>145</v>
      </c>
      <c r="I23" s="103"/>
      <c r="J23" s="103"/>
    </row>
    <row r="24" spans="2:11" x14ac:dyDescent="0.35">
      <c r="B24" s="101">
        <f t="shared" si="0"/>
        <v>4</v>
      </c>
      <c r="C24" s="102" t="s">
        <v>122</v>
      </c>
      <c r="D24" s="103"/>
      <c r="E24" s="103"/>
      <c r="F24" s="103"/>
      <c r="G24" s="103"/>
      <c r="H24" s="101" t="s">
        <v>1</v>
      </c>
      <c r="I24" s="103"/>
      <c r="J24" s="103" t="str">
        <f>Inputs!G6</f>
        <v>p.117 (Box 3)</v>
      </c>
    </row>
    <row r="25" spans="2:11" x14ac:dyDescent="0.35">
      <c r="B25" s="101">
        <f t="shared" si="0"/>
        <v>5</v>
      </c>
      <c r="C25" s="102"/>
      <c r="D25" s="103"/>
      <c r="E25" s="103"/>
      <c r="F25" s="103"/>
      <c r="G25" s="103"/>
      <c r="H25" s="101" t="s">
        <v>145</v>
      </c>
      <c r="I25" s="103"/>
      <c r="J25" s="103"/>
    </row>
    <row r="26" spans="2:11" x14ac:dyDescent="0.35">
      <c r="B26" s="101">
        <f t="shared" si="0"/>
        <v>6</v>
      </c>
      <c r="C26" s="102" t="s">
        <v>175</v>
      </c>
      <c r="D26" s="103"/>
      <c r="E26" s="103"/>
      <c r="F26" s="103"/>
      <c r="G26" s="103"/>
      <c r="H26" s="101" t="s">
        <v>1</v>
      </c>
      <c r="I26" s="103"/>
      <c r="J26" s="103" t="str">
        <f>Inputs!I6</f>
        <v>p.119 (Box 4)</v>
      </c>
    </row>
    <row r="27" spans="2:11" x14ac:dyDescent="0.35">
      <c r="B27" s="101">
        <f t="shared" si="0"/>
        <v>7</v>
      </c>
      <c r="C27" s="102"/>
      <c r="D27" s="103"/>
      <c r="E27" s="103"/>
      <c r="F27" s="103"/>
      <c r="G27" s="103"/>
      <c r="H27" s="101" t="s">
        <v>145</v>
      </c>
      <c r="I27" s="103"/>
      <c r="J27" s="103"/>
    </row>
    <row r="28" spans="2:11" x14ac:dyDescent="0.35">
      <c r="B28" s="101">
        <f t="shared" si="0"/>
        <v>8</v>
      </c>
      <c r="C28" s="102" t="s">
        <v>121</v>
      </c>
      <c r="D28" s="103"/>
      <c r="E28" s="103"/>
      <c r="F28" s="103"/>
      <c r="G28" s="103"/>
      <c r="H28" s="101" t="s">
        <v>1</v>
      </c>
      <c r="I28" s="103"/>
      <c r="J28" s="103" t="str">
        <f>Inputs!K6</f>
        <v>p.119 (Box 4)</v>
      </c>
    </row>
    <row r="29" spans="2:11" x14ac:dyDescent="0.35">
      <c r="B29" s="101">
        <f t="shared" si="0"/>
        <v>9</v>
      </c>
      <c r="C29" s="102"/>
      <c r="D29" s="103"/>
      <c r="E29" s="103"/>
      <c r="F29" s="103"/>
      <c r="G29" s="103"/>
      <c r="H29" s="101" t="s">
        <v>145</v>
      </c>
      <c r="I29" s="103"/>
      <c r="J29" s="103"/>
      <c r="K29" s="98" t="s">
        <v>186</v>
      </c>
    </row>
    <row r="30" spans="2:11" x14ac:dyDescent="0.35">
      <c r="B30" s="101">
        <f t="shared" si="0"/>
        <v>10</v>
      </c>
      <c r="C30" s="102" t="s">
        <v>176</v>
      </c>
      <c r="D30" s="103"/>
      <c r="E30" s="103"/>
      <c r="F30" s="103"/>
      <c r="G30" s="103"/>
      <c r="H30" s="101" t="s">
        <v>1</v>
      </c>
      <c r="I30" s="103"/>
      <c r="J30" s="103" t="str">
        <f>Inputs!M6</f>
        <v>p.121 (Box 5)</v>
      </c>
      <c r="K30" s="98"/>
    </row>
    <row r="31" spans="2:11" x14ac:dyDescent="0.35">
      <c r="B31" s="101">
        <f t="shared" si="0"/>
        <v>11</v>
      </c>
      <c r="C31" s="102"/>
      <c r="D31" s="103"/>
      <c r="E31" s="103"/>
      <c r="F31" s="103"/>
      <c r="G31" s="103"/>
      <c r="H31" s="101" t="s">
        <v>145</v>
      </c>
      <c r="I31" s="103"/>
      <c r="J31" s="103"/>
    </row>
    <row r="32" spans="2:11" x14ac:dyDescent="0.35">
      <c r="B32" s="101">
        <f t="shared" si="0"/>
        <v>12</v>
      </c>
      <c r="C32" s="102" t="s">
        <v>177</v>
      </c>
      <c r="D32" s="103"/>
      <c r="E32" s="103"/>
      <c r="F32" s="103"/>
      <c r="G32" s="103"/>
      <c r="H32" s="101" t="s">
        <v>1</v>
      </c>
      <c r="I32" s="103"/>
      <c r="J32" s="103" t="str">
        <f>Inputs!O6</f>
        <v>p.121 (Box 5)</v>
      </c>
      <c r="K32" s="98" t="s">
        <v>199</v>
      </c>
    </row>
    <row r="33" spans="2:10" x14ac:dyDescent="0.35">
      <c r="B33" s="101">
        <f t="shared" si="0"/>
        <v>13</v>
      </c>
      <c r="C33" s="102"/>
      <c r="D33" s="103"/>
      <c r="E33" s="103"/>
      <c r="F33" s="103"/>
      <c r="G33" s="103"/>
      <c r="H33" s="101" t="s">
        <v>145</v>
      </c>
      <c r="I33" s="103"/>
      <c r="J33" s="103"/>
    </row>
    <row r="34" spans="2:10" x14ac:dyDescent="0.35"/>
    <row r="35" spans="2:10" x14ac:dyDescent="0.35">
      <c r="B35" t="s">
        <v>168</v>
      </c>
    </row>
    <row r="36" spans="2:10" x14ac:dyDescent="0.35">
      <c r="B36" t="s">
        <v>134</v>
      </c>
    </row>
    <row r="37" spans="2:10" x14ac:dyDescent="0.35">
      <c r="B37" t="s">
        <v>180</v>
      </c>
    </row>
    <row r="38" spans="2:10" x14ac:dyDescent="0.35"/>
    <row r="39" spans="2:10" x14ac:dyDescent="0.35">
      <c r="B39" t="s">
        <v>124</v>
      </c>
    </row>
    <row r="40" spans="2:10" x14ac:dyDescent="0.35">
      <c r="B40" s="97" t="s">
        <v>119</v>
      </c>
      <c r="D40" t="s">
        <v>191</v>
      </c>
    </row>
    <row r="41" spans="2:10" x14ac:dyDescent="0.35">
      <c r="B41" s="97" t="s">
        <v>171</v>
      </c>
      <c r="D41" t="s">
        <v>178</v>
      </c>
    </row>
    <row r="42" spans="2:10" x14ac:dyDescent="0.35">
      <c r="B42" s="104" t="s">
        <v>172</v>
      </c>
      <c r="D42" t="s">
        <v>173</v>
      </c>
    </row>
    <row r="43" spans="2:10" x14ac:dyDescent="0.35"/>
    <row r="44" spans="2:10" x14ac:dyDescent="0.35">
      <c r="B44" s="105" t="s">
        <v>132</v>
      </c>
    </row>
    <row r="45" spans="2:10" x14ac:dyDescent="0.35">
      <c r="B45" s="105"/>
    </row>
    <row r="46" spans="2:10" x14ac:dyDescent="0.35">
      <c r="B46" s="107"/>
      <c r="C46" t="s">
        <v>170</v>
      </c>
      <c r="F46" t="s">
        <v>137</v>
      </c>
    </row>
    <row r="47" spans="2:10" x14ac:dyDescent="0.35">
      <c r="B47" s="106"/>
      <c r="C47" t="s">
        <v>136</v>
      </c>
      <c r="F47" t="s">
        <v>133</v>
      </c>
    </row>
    <row r="48" spans="2:10" x14ac:dyDescent="0.35">
      <c r="B48" s="121"/>
      <c r="C48" t="s">
        <v>189</v>
      </c>
      <c r="F48" t="s">
        <v>133</v>
      </c>
    </row>
    <row r="49" spans="2:6" x14ac:dyDescent="0.35">
      <c r="B49" s="123"/>
      <c r="C49" t="s">
        <v>190</v>
      </c>
      <c r="F49" t="s">
        <v>133</v>
      </c>
    </row>
    <row r="50" spans="2:6" x14ac:dyDescent="0.35"/>
    <row r="51" spans="2:6" x14ac:dyDescent="0.35"/>
  </sheetData>
  <conditionalFormatting sqref="B46">
    <cfRule type="containsText" dxfId="60" priority="3" operator="containsText" text="n/a">
      <formula>NOT(ISERROR(SEARCH("n/a",B46)))</formula>
    </cfRule>
  </conditionalFormatting>
  <hyperlinks>
    <hyperlink ref="D4" r:id="rId1" xr:uid="{F2B04BC9-2199-4D45-B721-F0CDE1B4D850}"/>
    <hyperlink ref="B40" location="Inputs!A1" display="Inputs" xr:uid="{9AE7FF6D-F738-4FBB-B55F-F60214CF5007}"/>
    <hyperlink ref="B41" location="Results!A1" display="Results" xr:uid="{5ACAF1FF-0BB9-4B89-ACC6-4C8A03802303}"/>
    <hyperlink ref="B42" location="Note_Rounding!A1" display="Note_Rounding" xr:uid="{36D70134-C473-442B-8AE6-2DBB725FB0DD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E08F-756C-4CAB-BD08-A7D5C320F461}">
  <dimension ref="A1:R96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D25" sqref="D25"/>
    </sheetView>
  </sheetViews>
  <sheetFormatPr defaultColWidth="0" defaultRowHeight="14.5" zeroHeight="1" x14ac:dyDescent="0.35"/>
  <cols>
    <col min="1" max="1" width="1.81640625" style="45" customWidth="1"/>
    <col min="2" max="2" width="35.7265625" style="118" bestFit="1" customWidth="1"/>
    <col min="3" max="3" width="14.81640625" style="118" customWidth="1"/>
    <col min="4" max="8" width="17.7265625" style="118" customWidth="1"/>
    <col min="9" max="9" width="17.7265625" style="45" customWidth="1"/>
    <col min="10" max="10" width="17.7265625" customWidth="1"/>
    <col min="11" max="11" width="17.7265625" style="45" customWidth="1"/>
    <col min="12" max="12" width="17.7265625" customWidth="1"/>
    <col min="13" max="13" width="17.7265625" style="45" customWidth="1"/>
    <col min="14" max="14" width="17.7265625" customWidth="1"/>
    <col min="15" max="15" width="17.7265625" style="45" customWidth="1"/>
    <col min="16" max="16" width="17.7265625" customWidth="1"/>
    <col min="17" max="17" width="8.7265625" style="45" customWidth="1"/>
    <col min="18" max="18" width="0" style="45" hidden="1" customWidth="1"/>
    <col min="19" max="16384" width="8.7265625" style="45" hidden="1"/>
  </cols>
  <sheetData>
    <row r="1" spans="2:17" x14ac:dyDescent="0.35">
      <c r="B1" s="45"/>
      <c r="C1" s="45"/>
      <c r="D1" s="45"/>
      <c r="E1" s="45"/>
      <c r="F1" s="45"/>
      <c r="G1" s="45"/>
      <c r="H1" s="45"/>
      <c r="I1" s="45" t="s">
        <v>94</v>
      </c>
      <c r="K1" s="45" t="s">
        <v>94</v>
      </c>
      <c r="M1" s="46" t="s">
        <v>84</v>
      </c>
      <c r="O1" s="46" t="s">
        <v>84</v>
      </c>
    </row>
    <row r="2" spans="2:17" s="47" customFormat="1" ht="12" x14ac:dyDescent="0.3">
      <c r="B2" s="59" t="s">
        <v>65</v>
      </c>
      <c r="C2" s="60" t="s">
        <v>64</v>
      </c>
      <c r="D2" s="113">
        <v>1</v>
      </c>
      <c r="E2" s="113">
        <f>D2+1</f>
        <v>2</v>
      </c>
      <c r="F2" s="113">
        <f t="shared" ref="F2:P2" si="0">E2+1</f>
        <v>3</v>
      </c>
      <c r="G2" s="113">
        <f t="shared" si="0"/>
        <v>4</v>
      </c>
      <c r="H2" s="113">
        <f t="shared" si="0"/>
        <v>5</v>
      </c>
      <c r="I2" s="113">
        <f t="shared" si="0"/>
        <v>6</v>
      </c>
      <c r="J2" s="113">
        <f t="shared" si="0"/>
        <v>7</v>
      </c>
      <c r="K2" s="113">
        <f t="shared" si="0"/>
        <v>8</v>
      </c>
      <c r="L2" s="113">
        <f t="shared" si="0"/>
        <v>9</v>
      </c>
      <c r="M2" s="113">
        <f t="shared" si="0"/>
        <v>10</v>
      </c>
      <c r="N2" s="113">
        <f t="shared" si="0"/>
        <v>11</v>
      </c>
      <c r="O2" s="113">
        <f t="shared" si="0"/>
        <v>12</v>
      </c>
      <c r="P2" s="113">
        <f t="shared" si="0"/>
        <v>13</v>
      </c>
    </row>
    <row r="3" spans="2:17" s="47" customFormat="1" ht="12" x14ac:dyDescent="0.3">
      <c r="B3" s="59"/>
      <c r="C3" s="60" t="s">
        <v>143</v>
      </c>
      <c r="D3" s="111" t="s">
        <v>81</v>
      </c>
      <c r="E3" s="111" t="s">
        <v>77</v>
      </c>
      <c r="F3" s="111" t="s">
        <v>77</v>
      </c>
      <c r="G3" s="111" t="s">
        <v>78</v>
      </c>
      <c r="H3" s="111" t="s">
        <v>78</v>
      </c>
      <c r="I3" s="111" t="s">
        <v>69</v>
      </c>
      <c r="J3" s="111" t="s">
        <v>69</v>
      </c>
      <c r="K3" s="111" t="s">
        <v>70</v>
      </c>
      <c r="L3" s="111" t="s">
        <v>70</v>
      </c>
      <c r="M3" s="111" t="s">
        <v>97</v>
      </c>
      <c r="N3" s="111" t="s">
        <v>97</v>
      </c>
      <c r="O3" s="111" t="s">
        <v>98</v>
      </c>
      <c r="P3" s="111" t="s">
        <v>98</v>
      </c>
    </row>
    <row r="4" spans="2:17" s="47" customFormat="1" ht="12" x14ac:dyDescent="0.3">
      <c r="B4" s="59"/>
      <c r="C4" s="60" t="s">
        <v>144</v>
      </c>
      <c r="D4" s="111" t="s">
        <v>1</v>
      </c>
      <c r="E4" s="111" t="s">
        <v>1</v>
      </c>
      <c r="F4" s="112" t="s">
        <v>145</v>
      </c>
      <c r="G4" s="111" t="s">
        <v>1</v>
      </c>
      <c r="H4" s="112" t="s">
        <v>145</v>
      </c>
      <c r="I4" s="111" t="s">
        <v>1</v>
      </c>
      <c r="J4" s="112" t="s">
        <v>145</v>
      </c>
      <c r="K4" s="111" t="s">
        <v>1</v>
      </c>
      <c r="L4" s="112" t="s">
        <v>145</v>
      </c>
      <c r="M4" s="111" t="s">
        <v>1</v>
      </c>
      <c r="N4" s="112" t="s">
        <v>145</v>
      </c>
      <c r="O4" s="111" t="s">
        <v>1</v>
      </c>
      <c r="P4" s="112" t="s">
        <v>145</v>
      </c>
    </row>
    <row r="5" spans="2:17" s="47" customFormat="1" ht="12" x14ac:dyDescent="0.3">
      <c r="B5" s="59"/>
      <c r="C5" s="60" t="s">
        <v>146</v>
      </c>
      <c r="D5" s="111" t="str">
        <f>CONCATENATE(D2," ",D3," ",D4)</f>
        <v>1 Reference scenario Cost</v>
      </c>
      <c r="E5" s="111" t="str">
        <f t="shared" ref="E5:P5" si="1">CONCATENATE(E2," ",E3," ",E4)</f>
        <v>2 Priority access Cost</v>
      </c>
      <c r="F5" s="111" t="str">
        <f t="shared" si="1"/>
        <v>3 Priority access Strategic</v>
      </c>
      <c r="G5" s="111" t="str">
        <f t="shared" si="1"/>
        <v>4 Battery Cost</v>
      </c>
      <c r="H5" s="111" t="str">
        <f t="shared" si="1"/>
        <v>5 Battery Strategic</v>
      </c>
      <c r="I5" s="111" t="str">
        <f t="shared" si="1"/>
        <v>6 Without rounding Cost</v>
      </c>
      <c r="J5" s="111" t="str">
        <f t="shared" si="1"/>
        <v>7 Without rounding Strategic</v>
      </c>
      <c r="K5" s="111" t="str">
        <f t="shared" si="1"/>
        <v>8 With rounding Cost</v>
      </c>
      <c r="L5" s="111" t="str">
        <f t="shared" si="1"/>
        <v>9 With rounding Strategic</v>
      </c>
      <c r="M5" s="111" t="str">
        <f t="shared" si="1"/>
        <v>10 OOM included Cost</v>
      </c>
      <c r="N5" s="111" t="str">
        <f t="shared" si="1"/>
        <v>11 OOM included Strategic</v>
      </c>
      <c r="O5" s="111" t="str">
        <f t="shared" si="1"/>
        <v>12 OOM excluded Cost</v>
      </c>
      <c r="P5" s="111" t="str">
        <f t="shared" si="1"/>
        <v>13 OOM excluded Strategic</v>
      </c>
    </row>
    <row r="6" spans="2:17" s="46" customFormat="1" ht="12" x14ac:dyDescent="0.3">
      <c r="B6" s="30" t="s">
        <v>79</v>
      </c>
      <c r="C6" s="30" t="s">
        <v>80</v>
      </c>
      <c r="D6" s="30" t="s">
        <v>179</v>
      </c>
      <c r="E6" s="30" t="s">
        <v>90</v>
      </c>
      <c r="F6" s="30"/>
      <c r="G6" s="30" t="s">
        <v>82</v>
      </c>
      <c r="H6" s="30"/>
      <c r="I6" s="30" t="s">
        <v>83</v>
      </c>
      <c r="J6" s="30"/>
      <c r="K6" s="30" t="s">
        <v>83</v>
      </c>
      <c r="L6" s="30"/>
      <c r="M6" s="30" t="s">
        <v>85</v>
      </c>
      <c r="N6" s="30"/>
      <c r="O6" s="30" t="s">
        <v>85</v>
      </c>
      <c r="P6" s="30"/>
    </row>
    <row r="7" spans="2:17" s="47" customFormat="1" ht="12" x14ac:dyDescent="0.3">
      <c r="B7" s="61"/>
      <c r="C7" s="29" t="s">
        <v>72</v>
      </c>
      <c r="D7" s="29"/>
      <c r="E7" s="29"/>
      <c r="F7" s="29"/>
      <c r="G7" s="29"/>
      <c r="H7" s="29"/>
      <c r="I7" s="61"/>
      <c r="J7" s="61"/>
      <c r="K7" s="61"/>
      <c r="L7" s="61"/>
      <c r="M7" s="61"/>
      <c r="N7" s="61"/>
      <c r="O7" s="61"/>
      <c r="P7" s="61"/>
    </row>
    <row r="8" spans="2:17" ht="12" x14ac:dyDescent="0.3">
      <c r="B8" s="108" t="s">
        <v>166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2:17" s="47" customFormat="1" ht="12" x14ac:dyDescent="0.3">
      <c r="B9" s="61"/>
      <c r="C9" s="29"/>
      <c r="D9" s="29"/>
      <c r="E9" s="29"/>
      <c r="F9" s="29"/>
      <c r="G9" s="29"/>
      <c r="H9" s="29"/>
      <c r="I9" s="61"/>
      <c r="J9" s="61"/>
      <c r="K9" s="61"/>
      <c r="L9" s="61"/>
      <c r="M9" s="61"/>
      <c r="N9" s="61"/>
      <c r="O9" s="61"/>
      <c r="P9" s="61"/>
    </row>
    <row r="10" spans="2:17" ht="12" x14ac:dyDescent="0.3">
      <c r="B10" s="29" t="s">
        <v>86</v>
      </c>
      <c r="C10" s="6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ht="12" x14ac:dyDescent="0.3">
      <c r="B11" s="28" t="s">
        <v>4</v>
      </c>
      <c r="C11" s="63" t="s">
        <v>48</v>
      </c>
      <c r="D11" s="133">
        <v>-1000</v>
      </c>
      <c r="E11" s="133">
        <v>-1000</v>
      </c>
      <c r="F11" s="133">
        <v>-1000</v>
      </c>
      <c r="G11" s="133">
        <f t="shared" ref="G11:N13" si="2">$D11</f>
        <v>-1000</v>
      </c>
      <c r="H11" s="133">
        <f t="shared" si="2"/>
        <v>-1000</v>
      </c>
      <c r="I11" s="133">
        <f t="shared" si="2"/>
        <v>-1000</v>
      </c>
      <c r="J11" s="133">
        <f t="shared" si="2"/>
        <v>-1000</v>
      </c>
      <c r="K11" s="133">
        <f t="shared" si="2"/>
        <v>-1000</v>
      </c>
      <c r="L11" s="133">
        <f t="shared" si="2"/>
        <v>-1000</v>
      </c>
      <c r="M11" s="133">
        <f t="shared" si="2"/>
        <v>-1000</v>
      </c>
      <c r="N11" s="133">
        <f t="shared" si="2"/>
        <v>-1000</v>
      </c>
      <c r="O11" s="133">
        <v>20</v>
      </c>
      <c r="P11" s="133">
        <v>20</v>
      </c>
    </row>
    <row r="12" spans="2:17" ht="12" x14ac:dyDescent="0.3">
      <c r="B12" s="28" t="s">
        <v>5</v>
      </c>
      <c r="C12" s="63" t="s">
        <v>48</v>
      </c>
      <c r="D12" s="133">
        <v>-1000</v>
      </c>
      <c r="E12" s="133">
        <v>-1000</v>
      </c>
      <c r="F12" s="133">
        <v>-1000</v>
      </c>
      <c r="G12" s="133">
        <f t="shared" si="2"/>
        <v>-1000</v>
      </c>
      <c r="H12" s="133">
        <f t="shared" si="2"/>
        <v>-1000</v>
      </c>
      <c r="I12" s="133">
        <f t="shared" si="2"/>
        <v>-1000</v>
      </c>
      <c r="J12" s="133">
        <f t="shared" si="2"/>
        <v>-1000</v>
      </c>
      <c r="K12" s="133">
        <f t="shared" si="2"/>
        <v>-1000</v>
      </c>
      <c r="L12" s="133">
        <f t="shared" si="2"/>
        <v>-1000</v>
      </c>
      <c r="M12" s="133">
        <f t="shared" si="2"/>
        <v>-1000</v>
      </c>
      <c r="N12" s="133">
        <f t="shared" si="2"/>
        <v>-1000</v>
      </c>
      <c r="O12" s="133">
        <v>-1000</v>
      </c>
      <c r="P12" s="133">
        <v>-1000</v>
      </c>
    </row>
    <row r="13" spans="2:17" ht="12" x14ac:dyDescent="0.3">
      <c r="B13" s="28" t="s">
        <v>6</v>
      </c>
      <c r="C13" s="63" t="s">
        <v>48</v>
      </c>
      <c r="D13" s="133">
        <v>-1000</v>
      </c>
      <c r="E13" s="133">
        <v>-1000</v>
      </c>
      <c r="F13" s="133">
        <v>-1000</v>
      </c>
      <c r="G13" s="133">
        <f t="shared" si="2"/>
        <v>-1000</v>
      </c>
      <c r="H13" s="133">
        <f t="shared" si="2"/>
        <v>-1000</v>
      </c>
      <c r="I13" s="133">
        <f t="shared" si="2"/>
        <v>-1000</v>
      </c>
      <c r="J13" s="133">
        <f t="shared" si="2"/>
        <v>-1000</v>
      </c>
      <c r="K13" s="133">
        <f t="shared" si="2"/>
        <v>-1000</v>
      </c>
      <c r="L13" s="133">
        <f t="shared" si="2"/>
        <v>-1000</v>
      </c>
      <c r="M13" s="133">
        <f t="shared" si="2"/>
        <v>-1000</v>
      </c>
      <c r="N13" s="133">
        <f t="shared" si="2"/>
        <v>-1000</v>
      </c>
      <c r="O13" s="133">
        <v>-1000</v>
      </c>
      <c r="P13" s="133">
        <v>-1000</v>
      </c>
    </row>
    <row r="14" spans="2:17" ht="12" x14ac:dyDescent="0.3">
      <c r="B14" s="28" t="s">
        <v>60</v>
      </c>
      <c r="C14" s="63" t="s">
        <v>48</v>
      </c>
      <c r="D14" s="133">
        <f t="shared" ref="D14:N14" si="3">$D$35</f>
        <v>15</v>
      </c>
      <c r="E14" s="133">
        <f t="shared" si="3"/>
        <v>15</v>
      </c>
      <c r="F14" s="133">
        <f t="shared" si="3"/>
        <v>15</v>
      </c>
      <c r="G14" s="133">
        <f t="shared" si="3"/>
        <v>15</v>
      </c>
      <c r="H14" s="133">
        <f t="shared" si="3"/>
        <v>15</v>
      </c>
      <c r="I14" s="133">
        <f t="shared" si="3"/>
        <v>15</v>
      </c>
      <c r="J14" s="133">
        <f t="shared" si="3"/>
        <v>15</v>
      </c>
      <c r="K14" s="133">
        <f t="shared" si="3"/>
        <v>15</v>
      </c>
      <c r="L14" s="133">
        <f t="shared" si="3"/>
        <v>15</v>
      </c>
      <c r="M14" s="133">
        <f t="shared" si="3"/>
        <v>15</v>
      </c>
      <c r="N14" s="133">
        <f t="shared" si="3"/>
        <v>15</v>
      </c>
      <c r="O14" s="134">
        <v>15</v>
      </c>
      <c r="P14" s="134">
        <v>15</v>
      </c>
    </row>
    <row r="15" spans="2:17" ht="12" x14ac:dyDescent="0.3">
      <c r="B15" s="28" t="s">
        <v>88</v>
      </c>
      <c r="C15" s="63" t="s">
        <v>48</v>
      </c>
      <c r="D15" s="135" t="s">
        <v>76</v>
      </c>
      <c r="E15" s="135" t="s">
        <v>76</v>
      </c>
      <c r="F15" s="135" t="s">
        <v>76</v>
      </c>
      <c r="G15" s="133" t="s">
        <v>66</v>
      </c>
      <c r="H15" s="133" t="s">
        <v>66</v>
      </c>
      <c r="I15" s="135" t="s">
        <v>76</v>
      </c>
      <c r="J15" s="135" t="s">
        <v>76</v>
      </c>
      <c r="K15" s="135" t="s">
        <v>76</v>
      </c>
      <c r="L15" s="135" t="s">
        <v>76</v>
      </c>
      <c r="M15" s="135" t="s">
        <v>76</v>
      </c>
      <c r="N15" s="135" t="s">
        <v>76</v>
      </c>
      <c r="O15" s="135" t="s">
        <v>76</v>
      </c>
      <c r="P15" s="135" t="s">
        <v>76</v>
      </c>
    </row>
    <row r="16" spans="2:17" ht="12" x14ac:dyDescent="0.3">
      <c r="B16" s="28" t="s">
        <v>89</v>
      </c>
      <c r="C16" s="63" t="s">
        <v>48</v>
      </c>
      <c r="D16" s="135" t="s">
        <v>76</v>
      </c>
      <c r="E16" s="135" t="s">
        <v>76</v>
      </c>
      <c r="F16" s="135" t="s">
        <v>76</v>
      </c>
      <c r="G16" s="133">
        <v>50</v>
      </c>
      <c r="H16" s="133">
        <v>50</v>
      </c>
      <c r="I16" s="135" t="s">
        <v>76</v>
      </c>
      <c r="J16" s="135" t="s">
        <v>76</v>
      </c>
      <c r="K16" s="135" t="s">
        <v>76</v>
      </c>
      <c r="L16" s="135" t="s">
        <v>76</v>
      </c>
      <c r="M16" s="135" t="s">
        <v>76</v>
      </c>
      <c r="N16" s="135" t="s">
        <v>76</v>
      </c>
      <c r="O16" s="135" t="s">
        <v>76</v>
      </c>
      <c r="P16" s="135" t="s">
        <v>76</v>
      </c>
    </row>
    <row r="17" spans="2:17" ht="12" x14ac:dyDescent="0.3">
      <c r="B17" s="62"/>
      <c r="C17" s="62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2:17" ht="12" x14ac:dyDescent="0.3">
      <c r="B18" s="29" t="s">
        <v>87</v>
      </c>
      <c r="C18" s="62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6"/>
    </row>
    <row r="19" spans="2:17" ht="12" x14ac:dyDescent="0.3">
      <c r="B19" s="28" t="s">
        <v>4</v>
      </c>
      <c r="C19" s="63" t="s">
        <v>48</v>
      </c>
      <c r="D19" s="133">
        <v>0</v>
      </c>
      <c r="E19" s="133">
        <v>0</v>
      </c>
      <c r="F19" s="133">
        <v>-5</v>
      </c>
      <c r="G19" s="133">
        <v>0</v>
      </c>
      <c r="H19" s="133">
        <v>5</v>
      </c>
      <c r="I19" s="133">
        <v>0</v>
      </c>
      <c r="J19" s="133">
        <v>5</v>
      </c>
      <c r="K19" s="133">
        <v>0</v>
      </c>
      <c r="L19" s="133">
        <v>0</v>
      </c>
      <c r="M19" s="133">
        <v>20</v>
      </c>
      <c r="N19" s="133">
        <v>15</v>
      </c>
      <c r="O19" s="133">
        <v>20</v>
      </c>
      <c r="P19" s="133">
        <v>25</v>
      </c>
    </row>
    <row r="20" spans="2:17" ht="12" x14ac:dyDescent="0.3">
      <c r="B20" s="28" t="s">
        <v>5</v>
      </c>
      <c r="C20" s="63" t="s">
        <v>48</v>
      </c>
      <c r="D20" s="133">
        <v>0</v>
      </c>
      <c r="E20" s="133">
        <v>0</v>
      </c>
      <c r="F20" s="133">
        <v>-5</v>
      </c>
      <c r="G20" s="133">
        <v>0</v>
      </c>
      <c r="H20" s="133">
        <v>5</v>
      </c>
      <c r="I20" s="133">
        <v>0</v>
      </c>
      <c r="J20" s="133">
        <v>5</v>
      </c>
      <c r="K20" s="133">
        <v>0</v>
      </c>
      <c r="L20" s="133">
        <v>0</v>
      </c>
      <c r="M20" s="133">
        <v>0</v>
      </c>
      <c r="N20" s="133">
        <v>5</v>
      </c>
      <c r="O20" s="133">
        <v>0</v>
      </c>
      <c r="P20" s="133">
        <v>5</v>
      </c>
    </row>
    <row r="21" spans="2:17" ht="12" x14ac:dyDescent="0.3">
      <c r="B21" s="28" t="s">
        <v>6</v>
      </c>
      <c r="C21" s="63" t="s">
        <v>48</v>
      </c>
      <c r="D21" s="133">
        <v>0</v>
      </c>
      <c r="E21" s="133">
        <v>0</v>
      </c>
      <c r="F21" s="133">
        <v>5</v>
      </c>
      <c r="G21" s="133">
        <v>0</v>
      </c>
      <c r="H21" s="133">
        <v>5</v>
      </c>
      <c r="I21" s="133">
        <v>0</v>
      </c>
      <c r="J21" s="133">
        <v>5</v>
      </c>
      <c r="K21" s="133">
        <v>0</v>
      </c>
      <c r="L21" s="133">
        <v>0</v>
      </c>
      <c r="M21" s="133">
        <v>0</v>
      </c>
      <c r="N21" s="133">
        <v>5</v>
      </c>
      <c r="O21" s="133">
        <v>0</v>
      </c>
      <c r="P21" s="133">
        <v>5</v>
      </c>
    </row>
    <row r="22" spans="2:17" ht="12" x14ac:dyDescent="0.3">
      <c r="B22" s="28" t="s">
        <v>60</v>
      </c>
      <c r="C22" s="63" t="s">
        <v>48</v>
      </c>
      <c r="D22" s="133">
        <v>15</v>
      </c>
      <c r="E22" s="133">
        <v>15</v>
      </c>
      <c r="F22" s="133">
        <v>15</v>
      </c>
      <c r="G22" s="133">
        <v>15</v>
      </c>
      <c r="H22" s="133">
        <v>15</v>
      </c>
      <c r="I22" s="133">
        <v>15</v>
      </c>
      <c r="J22" s="133">
        <v>15</v>
      </c>
      <c r="K22" s="133">
        <v>15</v>
      </c>
      <c r="L22" s="133">
        <v>15</v>
      </c>
      <c r="M22" s="133">
        <v>15</v>
      </c>
      <c r="N22" s="133">
        <v>15</v>
      </c>
      <c r="O22" s="133">
        <v>15</v>
      </c>
      <c r="P22" s="133">
        <v>15</v>
      </c>
    </row>
    <row r="23" spans="2:17" ht="12" x14ac:dyDescent="0.3">
      <c r="B23" s="28" t="s">
        <v>88</v>
      </c>
      <c r="C23" s="63" t="s">
        <v>48</v>
      </c>
      <c r="D23" s="135" t="s">
        <v>76</v>
      </c>
      <c r="E23" s="135" t="s">
        <v>76</v>
      </c>
      <c r="F23" s="135" t="s">
        <v>76</v>
      </c>
      <c r="G23" s="133">
        <v>10</v>
      </c>
      <c r="H23" s="133">
        <v>10</v>
      </c>
      <c r="I23" s="135" t="s">
        <v>76</v>
      </c>
      <c r="J23" s="135" t="s">
        <v>76</v>
      </c>
      <c r="K23" s="135" t="s">
        <v>76</v>
      </c>
      <c r="L23" s="135" t="s">
        <v>76</v>
      </c>
      <c r="M23" s="135" t="s">
        <v>76</v>
      </c>
      <c r="N23" s="135" t="s">
        <v>76</v>
      </c>
      <c r="O23" s="135" t="s">
        <v>76</v>
      </c>
      <c r="P23" s="135" t="s">
        <v>76</v>
      </c>
    </row>
    <row r="24" spans="2:17" ht="12" x14ac:dyDescent="0.3">
      <c r="B24" s="28" t="s">
        <v>89</v>
      </c>
      <c r="C24" s="63" t="s">
        <v>48</v>
      </c>
      <c r="D24" s="135" t="s">
        <v>76</v>
      </c>
      <c r="E24" s="135" t="s">
        <v>76</v>
      </c>
      <c r="F24" s="135" t="s">
        <v>76</v>
      </c>
      <c r="G24" s="133">
        <v>50</v>
      </c>
      <c r="H24" s="133">
        <v>50</v>
      </c>
      <c r="I24" s="135" t="s">
        <v>76</v>
      </c>
      <c r="J24" s="135" t="s">
        <v>76</v>
      </c>
      <c r="K24" s="135" t="s">
        <v>76</v>
      </c>
      <c r="L24" s="135" t="s">
        <v>76</v>
      </c>
      <c r="M24" s="135" t="s">
        <v>76</v>
      </c>
      <c r="N24" s="135" t="s">
        <v>76</v>
      </c>
      <c r="O24" s="135" t="s">
        <v>76</v>
      </c>
      <c r="P24" s="135" t="s">
        <v>76</v>
      </c>
    </row>
    <row r="25" spans="2:17" ht="12" x14ac:dyDescent="0.3">
      <c r="B25" s="62"/>
      <c r="C25" s="62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2:17" ht="12" x14ac:dyDescent="0.3">
      <c r="B26" s="29" t="s">
        <v>75</v>
      </c>
      <c r="C26" s="28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6"/>
    </row>
    <row r="27" spans="2:17" ht="12" x14ac:dyDescent="0.3">
      <c r="B27" s="28" t="s">
        <v>4</v>
      </c>
      <c r="C27" s="28" t="s">
        <v>48</v>
      </c>
      <c r="D27" s="133">
        <v>0</v>
      </c>
      <c r="E27" s="133">
        <v>0</v>
      </c>
      <c r="F27" s="133">
        <v>0</v>
      </c>
      <c r="G27" s="134">
        <f t="shared" ref="G27:L30" si="4">$D27</f>
        <v>0</v>
      </c>
      <c r="H27" s="134">
        <f t="shared" si="4"/>
        <v>0</v>
      </c>
      <c r="I27" s="134">
        <f t="shared" si="4"/>
        <v>0</v>
      </c>
      <c r="J27" s="134">
        <f t="shared" si="4"/>
        <v>0</v>
      </c>
      <c r="K27" s="134">
        <f t="shared" si="4"/>
        <v>0</v>
      </c>
      <c r="L27" s="134">
        <f t="shared" si="4"/>
        <v>0</v>
      </c>
      <c r="M27" s="133">
        <v>20</v>
      </c>
      <c r="N27" s="133">
        <v>20</v>
      </c>
      <c r="O27" s="133">
        <v>20</v>
      </c>
      <c r="P27" s="133">
        <v>20</v>
      </c>
    </row>
    <row r="28" spans="2:17" ht="12" x14ac:dyDescent="0.3">
      <c r="B28" s="28" t="s">
        <v>5</v>
      </c>
      <c r="C28" s="28" t="s">
        <v>48</v>
      </c>
      <c r="D28" s="133">
        <v>0</v>
      </c>
      <c r="E28" s="133">
        <v>0</v>
      </c>
      <c r="F28" s="133">
        <v>0</v>
      </c>
      <c r="G28" s="134">
        <f t="shared" si="4"/>
        <v>0</v>
      </c>
      <c r="H28" s="134">
        <f t="shared" si="4"/>
        <v>0</v>
      </c>
      <c r="I28" s="134">
        <f t="shared" si="4"/>
        <v>0</v>
      </c>
      <c r="J28" s="134">
        <f t="shared" si="4"/>
        <v>0</v>
      </c>
      <c r="K28" s="134">
        <f t="shared" si="4"/>
        <v>0</v>
      </c>
      <c r="L28" s="134">
        <f t="shared" si="4"/>
        <v>0</v>
      </c>
      <c r="M28" s="134">
        <f t="shared" ref="M28:P30" si="5">$D28</f>
        <v>0</v>
      </c>
      <c r="N28" s="134">
        <f t="shared" si="5"/>
        <v>0</v>
      </c>
      <c r="O28" s="134">
        <f t="shared" si="5"/>
        <v>0</v>
      </c>
      <c r="P28" s="134">
        <f t="shared" si="5"/>
        <v>0</v>
      </c>
    </row>
    <row r="29" spans="2:17" ht="12" x14ac:dyDescent="0.3">
      <c r="B29" s="28" t="s">
        <v>6</v>
      </c>
      <c r="C29" s="28" t="s">
        <v>48</v>
      </c>
      <c r="D29" s="133">
        <v>0</v>
      </c>
      <c r="E29" s="133">
        <v>0</v>
      </c>
      <c r="F29" s="133">
        <v>0</v>
      </c>
      <c r="G29" s="134">
        <f t="shared" si="4"/>
        <v>0</v>
      </c>
      <c r="H29" s="134">
        <f t="shared" si="4"/>
        <v>0</v>
      </c>
      <c r="I29" s="134">
        <f t="shared" si="4"/>
        <v>0</v>
      </c>
      <c r="J29" s="134">
        <f t="shared" si="4"/>
        <v>0</v>
      </c>
      <c r="K29" s="134">
        <f t="shared" si="4"/>
        <v>0</v>
      </c>
      <c r="L29" s="134">
        <f t="shared" si="4"/>
        <v>0</v>
      </c>
      <c r="M29" s="134">
        <f t="shared" si="5"/>
        <v>0</v>
      </c>
      <c r="N29" s="134">
        <f t="shared" si="5"/>
        <v>0</v>
      </c>
      <c r="O29" s="134">
        <f t="shared" si="5"/>
        <v>0</v>
      </c>
      <c r="P29" s="134">
        <f t="shared" si="5"/>
        <v>0</v>
      </c>
    </row>
    <row r="30" spans="2:17" ht="12" x14ac:dyDescent="0.3">
      <c r="B30" s="28" t="s">
        <v>60</v>
      </c>
      <c r="C30" s="28" t="s">
        <v>48</v>
      </c>
      <c r="D30" s="134">
        <v>15</v>
      </c>
      <c r="E30" s="134">
        <v>15</v>
      </c>
      <c r="F30" s="134">
        <v>15</v>
      </c>
      <c r="G30" s="134">
        <f t="shared" si="4"/>
        <v>15</v>
      </c>
      <c r="H30" s="134">
        <f t="shared" si="4"/>
        <v>15</v>
      </c>
      <c r="I30" s="134">
        <f t="shared" si="4"/>
        <v>15</v>
      </c>
      <c r="J30" s="134">
        <f t="shared" si="4"/>
        <v>15</v>
      </c>
      <c r="K30" s="134">
        <f t="shared" si="4"/>
        <v>15</v>
      </c>
      <c r="L30" s="134">
        <f t="shared" si="4"/>
        <v>15</v>
      </c>
      <c r="M30" s="134">
        <f t="shared" si="5"/>
        <v>15</v>
      </c>
      <c r="N30" s="134">
        <f t="shared" si="5"/>
        <v>15</v>
      </c>
      <c r="O30" s="134">
        <f t="shared" si="5"/>
        <v>15</v>
      </c>
      <c r="P30" s="134">
        <f t="shared" si="5"/>
        <v>15</v>
      </c>
    </row>
    <row r="31" spans="2:17" ht="12" x14ac:dyDescent="0.3">
      <c r="B31" s="28" t="s">
        <v>88</v>
      </c>
      <c r="C31" s="63" t="s">
        <v>48</v>
      </c>
      <c r="D31" s="135" t="s">
        <v>76</v>
      </c>
      <c r="E31" s="135" t="s">
        <v>76</v>
      </c>
      <c r="F31" s="135" t="s">
        <v>76</v>
      </c>
      <c r="G31" s="133">
        <v>10</v>
      </c>
      <c r="H31" s="133">
        <v>10</v>
      </c>
      <c r="I31" s="135" t="s">
        <v>76</v>
      </c>
      <c r="J31" s="135" t="s">
        <v>76</v>
      </c>
      <c r="K31" s="135" t="s">
        <v>76</v>
      </c>
      <c r="L31" s="135" t="s">
        <v>76</v>
      </c>
      <c r="M31" s="135" t="s">
        <v>76</v>
      </c>
      <c r="N31" s="135" t="s">
        <v>76</v>
      </c>
      <c r="O31" s="135" t="s">
        <v>76</v>
      </c>
      <c r="P31" s="135" t="s">
        <v>76</v>
      </c>
    </row>
    <row r="32" spans="2:17" ht="12" x14ac:dyDescent="0.3">
      <c r="B32" s="28" t="s">
        <v>89</v>
      </c>
      <c r="C32" s="63" t="s">
        <v>48</v>
      </c>
      <c r="D32" s="135" t="s">
        <v>76</v>
      </c>
      <c r="E32" s="135" t="s">
        <v>76</v>
      </c>
      <c r="F32" s="135" t="s">
        <v>76</v>
      </c>
      <c r="G32" s="133">
        <v>50</v>
      </c>
      <c r="H32" s="133">
        <v>50</v>
      </c>
      <c r="I32" s="135" t="s">
        <v>76</v>
      </c>
      <c r="J32" s="135" t="s">
        <v>76</v>
      </c>
      <c r="K32" s="135" t="s">
        <v>76</v>
      </c>
      <c r="L32" s="135" t="s">
        <v>76</v>
      </c>
      <c r="M32" s="135" t="s">
        <v>76</v>
      </c>
      <c r="N32" s="135" t="s">
        <v>76</v>
      </c>
      <c r="O32" s="135" t="s">
        <v>76</v>
      </c>
      <c r="P32" s="135" t="s">
        <v>76</v>
      </c>
    </row>
    <row r="33" spans="2:17" ht="12" x14ac:dyDescent="0.3">
      <c r="B33" s="62"/>
      <c r="C33" s="62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2:17" ht="12" x14ac:dyDescent="0.3">
      <c r="B34" s="29" t="s">
        <v>167</v>
      </c>
      <c r="C34" s="62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6"/>
    </row>
    <row r="35" spans="2:17" ht="12" x14ac:dyDescent="0.3">
      <c r="B35" s="28" t="s">
        <v>8</v>
      </c>
      <c r="C35" s="28" t="s">
        <v>48</v>
      </c>
      <c r="D35" s="134">
        <v>15</v>
      </c>
      <c r="E35" s="134">
        <v>15</v>
      </c>
      <c r="F35" s="134">
        <v>15</v>
      </c>
      <c r="G35" s="134">
        <v>15</v>
      </c>
      <c r="H35" s="134">
        <v>15</v>
      </c>
      <c r="I35" s="134">
        <v>15</v>
      </c>
      <c r="J35" s="134">
        <v>15</v>
      </c>
      <c r="K35" s="134">
        <v>15</v>
      </c>
      <c r="L35" s="134">
        <v>15</v>
      </c>
      <c r="M35" s="134">
        <v>15</v>
      </c>
      <c r="N35" s="134">
        <v>15</v>
      </c>
      <c r="O35" s="134">
        <v>15</v>
      </c>
      <c r="P35" s="134">
        <v>15</v>
      </c>
    </row>
    <row r="36" spans="2:17" ht="12" x14ac:dyDescent="0.3">
      <c r="B36" s="62"/>
      <c r="C36" s="62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7" ht="12" x14ac:dyDescent="0.3">
      <c r="B37" s="29" t="s">
        <v>147</v>
      </c>
      <c r="C37" s="62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6"/>
    </row>
    <row r="38" spans="2:17" ht="12" x14ac:dyDescent="0.3">
      <c r="B38" s="28" t="s">
        <v>4</v>
      </c>
      <c r="C38" s="63" t="s">
        <v>48</v>
      </c>
      <c r="D38" s="144">
        <v>0</v>
      </c>
      <c r="E38" s="144">
        <v>0</v>
      </c>
      <c r="F38" s="144">
        <v>-5</v>
      </c>
      <c r="G38" s="144">
        <v>3.75</v>
      </c>
      <c r="H38" s="144">
        <v>7.5</v>
      </c>
      <c r="I38" s="144">
        <v>0</v>
      </c>
      <c r="J38" s="144">
        <v>5</v>
      </c>
      <c r="K38" s="144">
        <v>0</v>
      </c>
      <c r="L38" s="144">
        <v>0</v>
      </c>
      <c r="M38" s="144">
        <v>3.75</v>
      </c>
      <c r="N38" s="144">
        <v>7.5</v>
      </c>
      <c r="O38" s="144">
        <v>3.75</v>
      </c>
      <c r="P38" s="144">
        <v>7.5</v>
      </c>
    </row>
    <row r="39" spans="2:17" ht="12" x14ac:dyDescent="0.3">
      <c r="B39" s="28" t="s">
        <v>5</v>
      </c>
      <c r="C39" s="63" t="s">
        <v>48</v>
      </c>
      <c r="D39" s="144">
        <v>-5</v>
      </c>
      <c r="E39" s="144">
        <v>-5</v>
      </c>
      <c r="F39" s="144">
        <v>-11.666666666666668</v>
      </c>
      <c r="G39" s="144">
        <v>0</v>
      </c>
      <c r="H39" s="144">
        <v>5</v>
      </c>
      <c r="I39" s="144">
        <v>-3.903591682419659</v>
      </c>
      <c r="J39" s="144">
        <v>2.39760554505356</v>
      </c>
      <c r="K39" s="144">
        <v>-3.903591682419659</v>
      </c>
      <c r="L39" s="144">
        <v>-3.903591682419659</v>
      </c>
      <c r="M39" s="144">
        <v>0</v>
      </c>
      <c r="N39" s="144">
        <v>5</v>
      </c>
      <c r="O39" s="144">
        <v>0</v>
      </c>
      <c r="P39" s="144">
        <v>5</v>
      </c>
    </row>
    <row r="40" spans="2:17" ht="12" x14ac:dyDescent="0.3">
      <c r="B40" s="28" t="s">
        <v>6</v>
      </c>
      <c r="C40" s="63" t="s">
        <v>48</v>
      </c>
      <c r="D40" s="144">
        <v>9</v>
      </c>
      <c r="E40" s="144">
        <v>9</v>
      </c>
      <c r="F40" s="144">
        <v>7</v>
      </c>
      <c r="G40" s="144">
        <v>10.5</v>
      </c>
      <c r="H40" s="144">
        <v>12</v>
      </c>
      <c r="I40" s="144">
        <v>0.7996219281663528</v>
      </c>
      <c r="J40" s="144">
        <v>5.5330812854442346</v>
      </c>
      <c r="K40" s="144">
        <v>0.7996219281663528</v>
      </c>
      <c r="L40" s="144">
        <v>0.7996219281663528</v>
      </c>
      <c r="M40" s="144">
        <v>10.5</v>
      </c>
      <c r="N40" s="144">
        <v>12</v>
      </c>
      <c r="O40" s="144">
        <v>10.5</v>
      </c>
      <c r="P40" s="144">
        <v>12</v>
      </c>
    </row>
    <row r="41" spans="2:17" ht="12" x14ac:dyDescent="0.3">
      <c r="B41" s="28" t="s">
        <v>60</v>
      </c>
      <c r="C41" s="63" t="s">
        <v>48</v>
      </c>
      <c r="D41" s="144">
        <v>15</v>
      </c>
      <c r="E41" s="144">
        <v>15</v>
      </c>
      <c r="F41" s="144">
        <v>15</v>
      </c>
      <c r="G41" s="144">
        <v>15</v>
      </c>
      <c r="H41" s="144">
        <v>15</v>
      </c>
      <c r="I41" s="144">
        <v>15</v>
      </c>
      <c r="J41" s="144">
        <v>15</v>
      </c>
      <c r="K41" s="144">
        <v>15</v>
      </c>
      <c r="L41" s="144">
        <v>15</v>
      </c>
      <c r="M41" s="144">
        <v>15</v>
      </c>
      <c r="N41" s="144">
        <v>15</v>
      </c>
      <c r="O41" s="144">
        <v>15</v>
      </c>
      <c r="P41" s="144">
        <v>15</v>
      </c>
    </row>
    <row r="42" spans="2:17" ht="12" x14ac:dyDescent="0.3">
      <c r="B42" s="28" t="s">
        <v>88</v>
      </c>
      <c r="C42" s="63" t="s">
        <v>48</v>
      </c>
      <c r="D42" s="145" t="s">
        <v>76</v>
      </c>
      <c r="E42" s="145" t="s">
        <v>76</v>
      </c>
      <c r="F42" s="145" t="s">
        <v>76</v>
      </c>
      <c r="G42" s="144">
        <v>0</v>
      </c>
      <c r="H42" s="144">
        <v>5</v>
      </c>
      <c r="I42" s="145" t="s">
        <v>76</v>
      </c>
      <c r="J42" s="145" t="s">
        <v>76</v>
      </c>
      <c r="K42" s="145" t="s">
        <v>76</v>
      </c>
      <c r="L42" s="145" t="s">
        <v>76</v>
      </c>
      <c r="M42" s="145" t="s">
        <v>76</v>
      </c>
      <c r="N42" s="145" t="s">
        <v>76</v>
      </c>
      <c r="O42" s="145" t="s">
        <v>76</v>
      </c>
      <c r="P42" s="145" t="s">
        <v>76</v>
      </c>
    </row>
    <row r="43" spans="2:17" ht="12" x14ac:dyDescent="0.3">
      <c r="B43" s="28" t="s">
        <v>89</v>
      </c>
      <c r="C43" s="63" t="s">
        <v>48</v>
      </c>
      <c r="D43" s="145" t="s">
        <v>76</v>
      </c>
      <c r="E43" s="145" t="s">
        <v>76</v>
      </c>
      <c r="F43" s="145" t="s">
        <v>76</v>
      </c>
      <c r="G43" s="144">
        <v>0</v>
      </c>
      <c r="H43" s="144">
        <v>5</v>
      </c>
      <c r="I43" s="145" t="s">
        <v>76</v>
      </c>
      <c r="J43" s="145" t="s">
        <v>76</v>
      </c>
      <c r="K43" s="145" t="s">
        <v>76</v>
      </c>
      <c r="L43" s="145" t="s">
        <v>76</v>
      </c>
      <c r="M43" s="145" t="s">
        <v>76</v>
      </c>
      <c r="N43" s="145" t="s">
        <v>76</v>
      </c>
      <c r="O43" s="145" t="s">
        <v>76</v>
      </c>
      <c r="P43" s="145" t="s">
        <v>76</v>
      </c>
    </row>
    <row r="44" spans="2:17" ht="12" x14ac:dyDescent="0.3">
      <c r="B44" s="28"/>
      <c r="C44" s="63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2:17" ht="13" x14ac:dyDescent="0.35">
      <c r="B45" s="119" t="s">
        <v>113</v>
      </c>
      <c r="C45" s="62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46"/>
    </row>
    <row r="46" spans="2:17" ht="12" x14ac:dyDescent="0.3">
      <c r="B46" s="28" t="s">
        <v>4</v>
      </c>
      <c r="C46" s="63" t="s">
        <v>51</v>
      </c>
      <c r="D46" s="142">
        <v>97.3</v>
      </c>
      <c r="E46" s="142">
        <v>100</v>
      </c>
      <c r="F46" s="142">
        <v>100</v>
      </c>
      <c r="G46" s="146">
        <f t="shared" ref="G46:H48" si="6">$D46</f>
        <v>97.3</v>
      </c>
      <c r="H46" s="146">
        <f t="shared" si="6"/>
        <v>97.3</v>
      </c>
      <c r="I46" s="147">
        <v>35.135475740390667</v>
      </c>
      <c r="J46" s="147">
        <v>35.135475740390667</v>
      </c>
      <c r="K46" s="142">
        <v>64.375</v>
      </c>
      <c r="L46" s="142">
        <v>64.375</v>
      </c>
      <c r="M46" s="146">
        <f t="shared" ref="M46:N48" si="7">$D46</f>
        <v>97.3</v>
      </c>
      <c r="N46" s="146">
        <f t="shared" si="7"/>
        <v>97.3</v>
      </c>
      <c r="O46" s="147">
        <v>0</v>
      </c>
      <c r="P46" s="147">
        <v>0</v>
      </c>
    </row>
    <row r="47" spans="2:17" ht="12" x14ac:dyDescent="0.3">
      <c r="B47" s="28" t="s">
        <v>5</v>
      </c>
      <c r="C47" s="63" t="s">
        <v>51</v>
      </c>
      <c r="D47" s="142">
        <v>0</v>
      </c>
      <c r="E47" s="142">
        <v>28</v>
      </c>
      <c r="F47" s="142">
        <v>28</v>
      </c>
      <c r="G47" s="146">
        <f t="shared" si="6"/>
        <v>0</v>
      </c>
      <c r="H47" s="146">
        <f t="shared" si="6"/>
        <v>0</v>
      </c>
      <c r="I47" s="142">
        <v>0</v>
      </c>
      <c r="J47" s="142">
        <v>0</v>
      </c>
      <c r="K47" s="142">
        <v>0</v>
      </c>
      <c r="L47" s="142">
        <v>0</v>
      </c>
      <c r="M47" s="146">
        <f t="shared" si="7"/>
        <v>0</v>
      </c>
      <c r="N47" s="146">
        <f t="shared" si="7"/>
        <v>0</v>
      </c>
      <c r="O47" s="148">
        <v>73</v>
      </c>
      <c r="P47" s="148">
        <v>73</v>
      </c>
    </row>
    <row r="48" spans="2:17" ht="12" x14ac:dyDescent="0.3">
      <c r="B48" s="28" t="s">
        <v>6</v>
      </c>
      <c r="C48" s="63" t="s">
        <v>51</v>
      </c>
      <c r="D48" s="142">
        <v>100</v>
      </c>
      <c r="E48" s="142">
        <v>0</v>
      </c>
      <c r="F48" s="142">
        <v>0</v>
      </c>
      <c r="G48" s="146">
        <f t="shared" si="6"/>
        <v>100</v>
      </c>
      <c r="H48" s="146">
        <f t="shared" si="6"/>
        <v>100</v>
      </c>
      <c r="I48" s="148">
        <v>100</v>
      </c>
      <c r="J48" s="148">
        <v>100</v>
      </c>
      <c r="K48" s="142">
        <v>64.375</v>
      </c>
      <c r="L48" s="142">
        <v>64.375</v>
      </c>
      <c r="M48" s="146">
        <f t="shared" si="7"/>
        <v>100</v>
      </c>
      <c r="N48" s="146">
        <f t="shared" si="7"/>
        <v>100</v>
      </c>
      <c r="O48" s="148">
        <v>100</v>
      </c>
      <c r="P48" s="148">
        <v>100</v>
      </c>
    </row>
    <row r="49" spans="2:17" ht="12" x14ac:dyDescent="0.3">
      <c r="B49" s="28" t="s">
        <v>60</v>
      </c>
      <c r="C49" s="63" t="s">
        <v>51</v>
      </c>
      <c r="D49" s="142">
        <f t="shared" ref="D49:P49" si="8">$G$62-SUM(D46:D48)</f>
        <v>302.7</v>
      </c>
      <c r="E49" s="142">
        <f t="shared" si="8"/>
        <v>372</v>
      </c>
      <c r="F49" s="142">
        <f t="shared" si="8"/>
        <v>372</v>
      </c>
      <c r="G49" s="142">
        <f t="shared" si="8"/>
        <v>302.7</v>
      </c>
      <c r="H49" s="142">
        <f t="shared" si="8"/>
        <v>302.7</v>
      </c>
      <c r="I49" s="142">
        <f t="shared" si="8"/>
        <v>364.86452425960931</v>
      </c>
      <c r="J49" s="142">
        <f t="shared" si="8"/>
        <v>364.86452425960931</v>
      </c>
      <c r="K49" s="142">
        <f t="shared" si="8"/>
        <v>371.25</v>
      </c>
      <c r="L49" s="142">
        <f t="shared" si="8"/>
        <v>371.25</v>
      </c>
      <c r="M49" s="142">
        <f t="shared" si="8"/>
        <v>302.7</v>
      </c>
      <c r="N49" s="142">
        <f t="shared" si="8"/>
        <v>302.7</v>
      </c>
      <c r="O49" s="142">
        <f t="shared" si="8"/>
        <v>327</v>
      </c>
      <c r="P49" s="142">
        <f t="shared" si="8"/>
        <v>327</v>
      </c>
    </row>
    <row r="50" spans="2:17" ht="12" x14ac:dyDescent="0.3">
      <c r="B50" s="28" t="s">
        <v>88</v>
      </c>
      <c r="C50" s="63" t="s">
        <v>51</v>
      </c>
      <c r="D50" s="143" t="s">
        <v>76</v>
      </c>
      <c r="E50" s="143" t="s">
        <v>76</v>
      </c>
      <c r="F50" s="143" t="s">
        <v>76</v>
      </c>
      <c r="G50" s="142">
        <v>0</v>
      </c>
      <c r="H50" s="142">
        <v>0</v>
      </c>
      <c r="I50" s="143" t="s">
        <v>76</v>
      </c>
      <c r="J50" s="143" t="s">
        <v>76</v>
      </c>
      <c r="K50" s="143" t="s">
        <v>76</v>
      </c>
      <c r="L50" s="143" t="s">
        <v>76</v>
      </c>
      <c r="M50" s="143" t="s">
        <v>76</v>
      </c>
      <c r="N50" s="143" t="s">
        <v>76</v>
      </c>
      <c r="O50" s="143" t="s">
        <v>76</v>
      </c>
      <c r="P50" s="143" t="s">
        <v>76</v>
      </c>
    </row>
    <row r="51" spans="2:17" ht="12" x14ac:dyDescent="0.3">
      <c r="B51" s="28" t="s">
        <v>89</v>
      </c>
      <c r="C51" s="63" t="s">
        <v>51</v>
      </c>
      <c r="D51" s="143" t="s">
        <v>76</v>
      </c>
      <c r="E51" s="143" t="s">
        <v>76</v>
      </c>
      <c r="F51" s="143" t="s">
        <v>76</v>
      </c>
      <c r="G51" s="142">
        <v>0</v>
      </c>
      <c r="H51" s="142">
        <v>0</v>
      </c>
      <c r="I51" s="143" t="s">
        <v>76</v>
      </c>
      <c r="J51" s="143" t="s">
        <v>76</v>
      </c>
      <c r="K51" s="143" t="s">
        <v>76</v>
      </c>
      <c r="L51" s="143" t="s">
        <v>76</v>
      </c>
      <c r="M51" s="143" t="s">
        <v>76</v>
      </c>
      <c r="N51" s="143" t="s">
        <v>76</v>
      </c>
      <c r="O51" s="143" t="s">
        <v>76</v>
      </c>
      <c r="P51" s="143" t="s">
        <v>76</v>
      </c>
    </row>
    <row r="52" spans="2:17" ht="12" x14ac:dyDescent="0.3">
      <c r="B52" s="62"/>
      <c r="C52" s="62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2:17" ht="12" x14ac:dyDescent="0.3">
      <c r="B53" s="29" t="s">
        <v>114</v>
      </c>
      <c r="C53" s="62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6"/>
    </row>
    <row r="54" spans="2:17" ht="12" x14ac:dyDescent="0.3">
      <c r="B54" s="28" t="s">
        <v>4</v>
      </c>
      <c r="C54" s="63" t="s">
        <v>51</v>
      </c>
      <c r="D54" s="142">
        <v>97.3</v>
      </c>
      <c r="E54" s="142">
        <f t="shared" ref="E54:F56" si="9">$D54</f>
        <v>97.3</v>
      </c>
      <c r="F54" s="142">
        <f t="shared" si="9"/>
        <v>97.3</v>
      </c>
      <c r="G54" s="147">
        <v>100</v>
      </c>
      <c r="H54" s="147">
        <v>100</v>
      </c>
      <c r="I54" s="147">
        <v>35.135475740390667</v>
      </c>
      <c r="J54" s="147">
        <v>35.135475740390667</v>
      </c>
      <c r="K54" s="147">
        <v>35.135475740390667</v>
      </c>
      <c r="L54" s="147">
        <v>35.135475740390667</v>
      </c>
      <c r="M54" s="147">
        <v>0</v>
      </c>
      <c r="N54" s="147">
        <v>0</v>
      </c>
      <c r="O54" s="147">
        <v>0</v>
      </c>
      <c r="P54" s="147">
        <v>0</v>
      </c>
    </row>
    <row r="55" spans="2:17" ht="12" x14ac:dyDescent="0.3">
      <c r="B55" s="28" t="s">
        <v>5</v>
      </c>
      <c r="C55" s="63" t="s">
        <v>51</v>
      </c>
      <c r="D55" s="142">
        <v>0</v>
      </c>
      <c r="E55" s="142">
        <f t="shared" si="9"/>
        <v>0</v>
      </c>
      <c r="F55" s="142">
        <f t="shared" si="9"/>
        <v>0</v>
      </c>
      <c r="G55" s="147">
        <v>48</v>
      </c>
      <c r="H55" s="147">
        <v>48</v>
      </c>
      <c r="I55" s="142">
        <v>0</v>
      </c>
      <c r="J55" s="142">
        <v>0</v>
      </c>
      <c r="K55" s="142">
        <v>0</v>
      </c>
      <c r="L55" s="142">
        <v>0</v>
      </c>
      <c r="M55" s="148">
        <v>73</v>
      </c>
      <c r="N55" s="148">
        <v>73</v>
      </c>
      <c r="O55" s="148">
        <v>73</v>
      </c>
      <c r="P55" s="148">
        <v>73</v>
      </c>
    </row>
    <row r="56" spans="2:17" ht="12" x14ac:dyDescent="0.3">
      <c r="B56" s="28" t="s">
        <v>6</v>
      </c>
      <c r="C56" s="63" t="s">
        <v>51</v>
      </c>
      <c r="D56" s="142">
        <v>100</v>
      </c>
      <c r="E56" s="142">
        <f t="shared" si="9"/>
        <v>100</v>
      </c>
      <c r="F56" s="142">
        <f t="shared" si="9"/>
        <v>100</v>
      </c>
      <c r="G56" s="147">
        <v>100</v>
      </c>
      <c r="H56" s="147">
        <v>100</v>
      </c>
      <c r="I56" s="148">
        <v>100</v>
      </c>
      <c r="J56" s="148">
        <v>100</v>
      </c>
      <c r="K56" s="148">
        <v>100</v>
      </c>
      <c r="L56" s="148">
        <v>100</v>
      </c>
      <c r="M56" s="148">
        <v>100</v>
      </c>
      <c r="N56" s="148">
        <v>100</v>
      </c>
      <c r="O56" s="148">
        <v>100</v>
      </c>
      <c r="P56" s="148">
        <v>100</v>
      </c>
    </row>
    <row r="57" spans="2:17" ht="12" x14ac:dyDescent="0.3">
      <c r="B57" s="28" t="s">
        <v>60</v>
      </c>
      <c r="C57" s="63" t="s">
        <v>51</v>
      </c>
      <c r="D57" s="142">
        <f>$G$62-SUM(D54:D56)</f>
        <v>302.7</v>
      </c>
      <c r="E57" s="142">
        <f>$G$62-SUM(E54:E56)</f>
        <v>302.7</v>
      </c>
      <c r="F57" s="142">
        <f>$G$62-SUM(F54:F56)</f>
        <v>302.7</v>
      </c>
      <c r="G57" s="142">
        <f>$G$62-SUM(G54:G56,G58:G59)</f>
        <v>302</v>
      </c>
      <c r="H57" s="142">
        <f>$G$62-SUM(H54:H56,H58:H59)</f>
        <v>302</v>
      </c>
      <c r="I57" s="142">
        <f>$G$62-SUM(I54:I56,I59:I59)</f>
        <v>364.86452425960931</v>
      </c>
      <c r="J57" s="142">
        <f>$G$62-SUM(J54:J56,J59:J59)</f>
        <v>364.86452425960931</v>
      </c>
      <c r="K57" s="142">
        <f>$G$62-SUM(K54:K56,K59:K59)</f>
        <v>364.86452425960931</v>
      </c>
      <c r="L57" s="142">
        <f>$G$62-SUM(L54:L56,L59:L59)</f>
        <v>364.86452425960931</v>
      </c>
      <c r="M57" s="142">
        <f>$G$62-SUM(M54:M56)</f>
        <v>327</v>
      </c>
      <c r="N57" s="142">
        <f>$G$62-SUM(N54:N56)</f>
        <v>327</v>
      </c>
      <c r="O57" s="142">
        <f>$G$62-SUM(O54:O56)</f>
        <v>327</v>
      </c>
      <c r="P57" s="142">
        <f>$G$62-SUM(P54:P56)</f>
        <v>327</v>
      </c>
    </row>
    <row r="58" spans="2:17" ht="12" x14ac:dyDescent="0.3">
      <c r="B58" s="28" t="s">
        <v>88</v>
      </c>
      <c r="C58" s="63" t="s">
        <v>51</v>
      </c>
      <c r="D58" s="143" t="s">
        <v>76</v>
      </c>
      <c r="E58" s="143" t="s">
        <v>76</v>
      </c>
      <c r="F58" s="143" t="s">
        <v>76</v>
      </c>
      <c r="G58" s="147">
        <v>-50</v>
      </c>
      <c r="H58" s="147">
        <v>-50</v>
      </c>
      <c r="I58" s="143" t="s">
        <v>76</v>
      </c>
      <c r="J58" s="143" t="s">
        <v>76</v>
      </c>
      <c r="K58" s="143" t="s">
        <v>76</v>
      </c>
      <c r="L58" s="143" t="s">
        <v>76</v>
      </c>
      <c r="M58" s="143" t="s">
        <v>76</v>
      </c>
      <c r="N58" s="143" t="s">
        <v>76</v>
      </c>
      <c r="O58" s="143" t="s">
        <v>76</v>
      </c>
      <c r="P58" s="143" t="s">
        <v>76</v>
      </c>
    </row>
    <row r="59" spans="2:17" ht="12" x14ac:dyDescent="0.3">
      <c r="B59" s="28" t="s">
        <v>89</v>
      </c>
      <c r="C59" s="63" t="s">
        <v>51</v>
      </c>
      <c r="D59" s="143" t="s">
        <v>76</v>
      </c>
      <c r="E59" s="143" t="s">
        <v>76</v>
      </c>
      <c r="F59" s="143" t="s">
        <v>76</v>
      </c>
      <c r="G59" s="147">
        <v>0</v>
      </c>
      <c r="H59" s="147">
        <v>0</v>
      </c>
      <c r="I59" s="143" t="s">
        <v>76</v>
      </c>
      <c r="J59" s="143" t="s">
        <v>76</v>
      </c>
      <c r="K59" s="143" t="s">
        <v>76</v>
      </c>
      <c r="L59" s="143" t="s">
        <v>76</v>
      </c>
      <c r="M59" s="143" t="s">
        <v>76</v>
      </c>
      <c r="N59" s="143" t="s">
        <v>76</v>
      </c>
      <c r="O59" s="143" t="s">
        <v>76</v>
      </c>
      <c r="P59" s="143" t="s">
        <v>76</v>
      </c>
    </row>
    <row r="60" spans="2:17" ht="12" x14ac:dyDescent="0.3">
      <c r="B60" s="62"/>
      <c r="C60" s="62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</row>
    <row r="61" spans="2:17" ht="12" x14ac:dyDescent="0.3">
      <c r="B61" s="108" t="s">
        <v>183</v>
      </c>
      <c r="C61" s="10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</row>
    <row r="62" spans="2:17" ht="12" x14ac:dyDescent="0.3">
      <c r="B62" s="28" t="s">
        <v>62</v>
      </c>
      <c r="C62" s="28" t="s">
        <v>51</v>
      </c>
      <c r="D62" s="134">
        <v>500</v>
      </c>
      <c r="E62" s="134">
        <v>500</v>
      </c>
      <c r="F62" s="134">
        <v>500</v>
      </c>
      <c r="G62" s="134">
        <v>500</v>
      </c>
      <c r="H62" s="134">
        <v>500</v>
      </c>
      <c r="I62" s="134">
        <v>500</v>
      </c>
      <c r="J62" s="134">
        <v>500</v>
      </c>
      <c r="K62" s="134">
        <v>500</v>
      </c>
      <c r="L62" s="134">
        <v>500</v>
      </c>
      <c r="M62" s="134">
        <v>500</v>
      </c>
      <c r="N62" s="134">
        <v>500</v>
      </c>
      <c r="O62" s="134">
        <v>500</v>
      </c>
      <c r="P62" s="134">
        <v>500</v>
      </c>
    </row>
    <row r="63" spans="2:17" ht="12" x14ac:dyDescent="0.3">
      <c r="B63" s="28" t="s">
        <v>63</v>
      </c>
      <c r="C63" s="28" t="s">
        <v>51</v>
      </c>
      <c r="D63" s="134">
        <v>103</v>
      </c>
      <c r="E63" s="134">
        <v>103</v>
      </c>
      <c r="F63" s="134">
        <v>103</v>
      </c>
      <c r="G63" s="134">
        <v>103</v>
      </c>
      <c r="H63" s="134">
        <v>103</v>
      </c>
      <c r="I63" s="134">
        <v>103</v>
      </c>
      <c r="J63" s="134">
        <v>103</v>
      </c>
      <c r="K63" s="134">
        <v>103</v>
      </c>
      <c r="L63" s="134">
        <v>103</v>
      </c>
      <c r="M63" s="134">
        <v>103</v>
      </c>
      <c r="N63" s="134">
        <v>103</v>
      </c>
      <c r="O63" s="134">
        <v>103</v>
      </c>
      <c r="P63" s="134">
        <v>103</v>
      </c>
    </row>
    <row r="64" spans="2:17" ht="12" x14ac:dyDescent="0.3">
      <c r="B64" s="29"/>
      <c r="C64" s="62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7" ht="12" x14ac:dyDescent="0.3">
      <c r="B65" s="29" t="s">
        <v>135</v>
      </c>
      <c r="C65" s="62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</row>
    <row r="66" spans="1:17" ht="12" x14ac:dyDescent="0.3">
      <c r="B66" s="28" t="s">
        <v>4</v>
      </c>
      <c r="C66" s="62" t="s">
        <v>51</v>
      </c>
      <c r="D66" s="134">
        <v>100</v>
      </c>
      <c r="E66" s="134">
        <v>100</v>
      </c>
      <c r="F66" s="134">
        <v>100</v>
      </c>
      <c r="G66" s="134">
        <v>100</v>
      </c>
      <c r="H66" s="134">
        <v>100</v>
      </c>
      <c r="I66" s="134">
        <v>100</v>
      </c>
      <c r="J66" s="134">
        <v>100</v>
      </c>
      <c r="K66" s="134">
        <v>100</v>
      </c>
      <c r="L66" s="134">
        <v>100</v>
      </c>
      <c r="M66" s="134">
        <v>100</v>
      </c>
      <c r="N66" s="134">
        <v>100</v>
      </c>
      <c r="O66" s="134">
        <v>100</v>
      </c>
      <c r="P66" s="134">
        <v>100</v>
      </c>
    </row>
    <row r="67" spans="1:17" ht="12" x14ac:dyDescent="0.3">
      <c r="B67" s="28" t="s">
        <v>5</v>
      </c>
      <c r="C67" s="62" t="s">
        <v>51</v>
      </c>
      <c r="D67" s="134">
        <v>100</v>
      </c>
      <c r="E67" s="134">
        <v>100</v>
      </c>
      <c r="F67" s="134">
        <v>100</v>
      </c>
      <c r="G67" s="134">
        <v>100</v>
      </c>
      <c r="H67" s="134">
        <v>100</v>
      </c>
      <c r="I67" s="134">
        <v>100</v>
      </c>
      <c r="J67" s="134">
        <v>100</v>
      </c>
      <c r="K67" s="134">
        <v>100</v>
      </c>
      <c r="L67" s="134">
        <v>100</v>
      </c>
      <c r="M67" s="134">
        <v>100</v>
      </c>
      <c r="N67" s="134">
        <v>100</v>
      </c>
      <c r="O67" s="134">
        <v>100</v>
      </c>
      <c r="P67" s="134">
        <v>100</v>
      </c>
    </row>
    <row r="68" spans="1:17" ht="12" x14ac:dyDescent="0.3">
      <c r="B68" s="28" t="s">
        <v>6</v>
      </c>
      <c r="C68" s="62" t="s">
        <v>51</v>
      </c>
      <c r="D68" s="134">
        <v>100</v>
      </c>
      <c r="E68" s="134">
        <v>100</v>
      </c>
      <c r="F68" s="134">
        <v>100</v>
      </c>
      <c r="G68" s="134">
        <v>100</v>
      </c>
      <c r="H68" s="134">
        <v>100</v>
      </c>
      <c r="I68" s="134">
        <v>100</v>
      </c>
      <c r="J68" s="134">
        <v>100</v>
      </c>
      <c r="K68" s="134">
        <v>100</v>
      </c>
      <c r="L68" s="134">
        <v>100</v>
      </c>
      <c r="M68" s="134">
        <v>100</v>
      </c>
      <c r="N68" s="134">
        <v>100</v>
      </c>
      <c r="O68" s="134">
        <v>100</v>
      </c>
      <c r="P68" s="134">
        <v>100</v>
      </c>
    </row>
    <row r="69" spans="1:17" ht="12" x14ac:dyDescent="0.3">
      <c r="B69" s="28" t="s">
        <v>60</v>
      </c>
      <c r="C69" s="62" t="s">
        <v>51</v>
      </c>
      <c r="D69" s="134">
        <v>500</v>
      </c>
      <c r="E69" s="134">
        <v>500</v>
      </c>
      <c r="F69" s="134">
        <v>500</v>
      </c>
      <c r="G69" s="134">
        <v>500</v>
      </c>
      <c r="H69" s="134">
        <v>500</v>
      </c>
      <c r="I69" s="134">
        <v>500</v>
      </c>
      <c r="J69" s="134">
        <v>500</v>
      </c>
      <c r="K69" s="134">
        <v>500</v>
      </c>
      <c r="L69" s="134">
        <v>500</v>
      </c>
      <c r="M69" s="134">
        <v>500</v>
      </c>
      <c r="N69" s="134">
        <v>500</v>
      </c>
      <c r="O69" s="134">
        <v>500</v>
      </c>
      <c r="P69" s="134">
        <v>500</v>
      </c>
    </row>
    <row r="70" spans="1:17" ht="12" x14ac:dyDescent="0.3">
      <c r="B70" s="28" t="s">
        <v>88</v>
      </c>
      <c r="C70" s="62" t="s">
        <v>51</v>
      </c>
      <c r="D70" s="134">
        <v>100</v>
      </c>
      <c r="E70" s="134">
        <v>100</v>
      </c>
      <c r="F70" s="134">
        <v>100</v>
      </c>
      <c r="G70" s="134">
        <v>100</v>
      </c>
      <c r="H70" s="134">
        <v>100</v>
      </c>
      <c r="I70" s="134">
        <v>100</v>
      </c>
      <c r="J70" s="134">
        <v>100</v>
      </c>
      <c r="K70" s="134">
        <v>100</v>
      </c>
      <c r="L70" s="134">
        <v>100</v>
      </c>
      <c r="M70" s="134">
        <v>100</v>
      </c>
      <c r="N70" s="134">
        <v>100</v>
      </c>
      <c r="O70" s="134">
        <v>100</v>
      </c>
      <c r="P70" s="134">
        <v>100</v>
      </c>
    </row>
    <row r="71" spans="1:17" ht="12" x14ac:dyDescent="0.3">
      <c r="B71" s="28" t="s">
        <v>89</v>
      </c>
      <c r="C71" s="62" t="s">
        <v>51</v>
      </c>
      <c r="D71" s="134">
        <v>100</v>
      </c>
      <c r="E71" s="134">
        <v>100</v>
      </c>
      <c r="F71" s="134">
        <v>100</v>
      </c>
      <c r="G71" s="134">
        <v>100</v>
      </c>
      <c r="H71" s="134">
        <v>100</v>
      </c>
      <c r="I71" s="134">
        <v>100</v>
      </c>
      <c r="J71" s="134">
        <v>100</v>
      </c>
      <c r="K71" s="134">
        <v>100</v>
      </c>
      <c r="L71" s="134">
        <v>100</v>
      </c>
      <c r="M71" s="134">
        <v>100</v>
      </c>
      <c r="N71" s="134">
        <v>100</v>
      </c>
      <c r="O71" s="134">
        <v>100</v>
      </c>
      <c r="P71" s="134">
        <v>100</v>
      </c>
    </row>
    <row r="72" spans="1:17" x14ac:dyDescent="0.35">
      <c r="B72" s="62"/>
      <c r="C72" s="62"/>
      <c r="D72" s="136"/>
      <c r="E72" s="136"/>
      <c r="F72" s="136"/>
      <c r="G72" s="136"/>
      <c r="H72" s="136"/>
      <c r="I72" s="136"/>
      <c r="J72" s="140"/>
      <c r="K72" s="136"/>
      <c r="L72" s="140"/>
      <c r="M72" s="136"/>
      <c r="N72" s="140"/>
      <c r="O72" s="136"/>
      <c r="P72" s="140"/>
    </row>
    <row r="73" spans="1:17" x14ac:dyDescent="0.35">
      <c r="B73" s="29" t="s">
        <v>195</v>
      </c>
      <c r="C73" s="62"/>
      <c r="D73" s="136"/>
      <c r="E73" s="136"/>
      <c r="F73" s="136"/>
      <c r="G73" s="136"/>
      <c r="H73" s="136"/>
      <c r="I73" s="136"/>
      <c r="J73" s="140"/>
      <c r="K73" s="138" t="s">
        <v>112</v>
      </c>
      <c r="L73" s="140"/>
      <c r="M73" s="136"/>
      <c r="N73" s="140"/>
      <c r="O73" s="136"/>
      <c r="P73" s="140"/>
    </row>
    <row r="74" spans="1:17" s="110" customFormat="1" ht="12" x14ac:dyDescent="0.3">
      <c r="A74" s="45"/>
      <c r="B74" s="28" t="s">
        <v>4</v>
      </c>
      <c r="C74" s="63" t="s">
        <v>74</v>
      </c>
      <c r="D74" s="158">
        <v>0.75</v>
      </c>
      <c r="E74" s="159">
        <f>$D74</f>
        <v>0.75</v>
      </c>
      <c r="F74" s="158">
        <v>0.75</v>
      </c>
      <c r="G74" s="159">
        <f t="shared" ref="G74:H77" si="10">$D74</f>
        <v>0.75</v>
      </c>
      <c r="H74" s="159">
        <f t="shared" si="10"/>
        <v>0.75</v>
      </c>
      <c r="I74" s="158">
        <v>0.79349999999999998</v>
      </c>
      <c r="J74" s="158">
        <v>0.79349999999999998</v>
      </c>
      <c r="K74" s="158">
        <v>0.79349999999999998</v>
      </c>
      <c r="L74" s="158">
        <v>0.79349999999999998</v>
      </c>
      <c r="M74" s="159">
        <f>$D74</f>
        <v>0.75</v>
      </c>
      <c r="N74" s="159">
        <f t="shared" ref="N74:P77" si="11">$D74</f>
        <v>0.75</v>
      </c>
      <c r="O74" s="159">
        <f t="shared" si="11"/>
        <v>0.75</v>
      </c>
      <c r="P74" s="159">
        <f t="shared" si="11"/>
        <v>0.75</v>
      </c>
      <c r="Q74" s="45"/>
    </row>
    <row r="75" spans="1:17" s="110" customFormat="1" ht="12" x14ac:dyDescent="0.3">
      <c r="A75" s="45"/>
      <c r="B75" s="28" t="s">
        <v>5</v>
      </c>
      <c r="C75" s="63" t="s">
        <v>74</v>
      </c>
      <c r="D75" s="158">
        <v>1</v>
      </c>
      <c r="E75" s="159">
        <f>$D75</f>
        <v>1</v>
      </c>
      <c r="F75" s="158">
        <v>1</v>
      </c>
      <c r="G75" s="159">
        <f t="shared" si="10"/>
        <v>1</v>
      </c>
      <c r="H75" s="159">
        <f t="shared" si="10"/>
        <v>1</v>
      </c>
      <c r="I75" s="158">
        <v>1</v>
      </c>
      <c r="J75" s="158">
        <v>1</v>
      </c>
      <c r="K75" s="158">
        <v>1</v>
      </c>
      <c r="L75" s="158">
        <v>1</v>
      </c>
      <c r="M75" s="159">
        <f>$D75</f>
        <v>1</v>
      </c>
      <c r="N75" s="159">
        <f t="shared" si="11"/>
        <v>1</v>
      </c>
      <c r="O75" s="159">
        <f t="shared" si="11"/>
        <v>1</v>
      </c>
      <c r="P75" s="159">
        <f t="shared" si="11"/>
        <v>1</v>
      </c>
      <c r="Q75" s="45"/>
    </row>
    <row r="76" spans="1:17" s="110" customFormat="1" ht="12" x14ac:dyDescent="0.3">
      <c r="A76" s="45"/>
      <c r="B76" s="28" t="s">
        <v>6</v>
      </c>
      <c r="C76" s="63" t="s">
        <v>74</v>
      </c>
      <c r="D76" s="158">
        <v>0.3</v>
      </c>
      <c r="E76" s="159">
        <f>$D76</f>
        <v>0.3</v>
      </c>
      <c r="F76" s="158">
        <v>0.3</v>
      </c>
      <c r="G76" s="159">
        <f t="shared" si="10"/>
        <v>0.3</v>
      </c>
      <c r="H76" s="159">
        <f t="shared" si="10"/>
        <v>0.3</v>
      </c>
      <c r="I76" s="158">
        <v>0.75119999999999998</v>
      </c>
      <c r="J76" s="158">
        <v>0.75119999999999998</v>
      </c>
      <c r="K76" s="158">
        <v>0.75119999999999998</v>
      </c>
      <c r="L76" s="158">
        <v>0.75119999999999998</v>
      </c>
      <c r="M76" s="159">
        <f>$D76</f>
        <v>0.3</v>
      </c>
      <c r="N76" s="159">
        <f t="shared" si="11"/>
        <v>0.3</v>
      </c>
      <c r="O76" s="159">
        <f t="shared" si="11"/>
        <v>0.3</v>
      </c>
      <c r="P76" s="159">
        <f t="shared" si="11"/>
        <v>0.3</v>
      </c>
      <c r="Q76" s="45"/>
    </row>
    <row r="77" spans="1:17" s="110" customFormat="1" ht="12" x14ac:dyDescent="0.3">
      <c r="A77" s="45"/>
      <c r="B77" s="28" t="s">
        <v>60</v>
      </c>
      <c r="C77" s="63" t="s">
        <v>74</v>
      </c>
      <c r="D77" s="158">
        <v>0</v>
      </c>
      <c r="E77" s="159">
        <f>$D77</f>
        <v>0</v>
      </c>
      <c r="F77" s="158">
        <v>0</v>
      </c>
      <c r="G77" s="159">
        <f t="shared" si="10"/>
        <v>0</v>
      </c>
      <c r="H77" s="159">
        <f t="shared" si="10"/>
        <v>0</v>
      </c>
      <c r="I77" s="158">
        <v>0</v>
      </c>
      <c r="J77" s="158">
        <v>0</v>
      </c>
      <c r="K77" s="158">
        <v>0</v>
      </c>
      <c r="L77" s="158">
        <v>0</v>
      </c>
      <c r="M77" s="159">
        <f>$D77</f>
        <v>0</v>
      </c>
      <c r="N77" s="159">
        <f t="shared" si="11"/>
        <v>0</v>
      </c>
      <c r="O77" s="159">
        <f t="shared" si="11"/>
        <v>0</v>
      </c>
      <c r="P77" s="159">
        <f t="shared" si="11"/>
        <v>0</v>
      </c>
      <c r="Q77" s="45"/>
    </row>
    <row r="78" spans="1:17" ht="12" x14ac:dyDescent="0.3">
      <c r="B78" s="28" t="s">
        <v>88</v>
      </c>
      <c r="C78" s="63" t="s">
        <v>74</v>
      </c>
      <c r="D78" s="160" t="s">
        <v>76</v>
      </c>
      <c r="E78" s="160" t="s">
        <v>76</v>
      </c>
      <c r="F78" s="160" t="s">
        <v>76</v>
      </c>
      <c r="G78" s="158">
        <v>1</v>
      </c>
      <c r="H78" s="158">
        <v>1</v>
      </c>
      <c r="I78" s="160" t="s">
        <v>76</v>
      </c>
      <c r="J78" s="160" t="s">
        <v>76</v>
      </c>
      <c r="K78" s="160" t="s">
        <v>76</v>
      </c>
      <c r="L78" s="160" t="s">
        <v>76</v>
      </c>
      <c r="M78" s="160" t="s">
        <v>76</v>
      </c>
      <c r="N78" s="160" t="s">
        <v>76</v>
      </c>
      <c r="O78" s="160" t="s">
        <v>76</v>
      </c>
      <c r="P78" s="160" t="s">
        <v>76</v>
      </c>
    </row>
    <row r="79" spans="1:17" ht="12" x14ac:dyDescent="0.3">
      <c r="B79" s="28" t="s">
        <v>89</v>
      </c>
      <c r="C79" s="63" t="s">
        <v>74</v>
      </c>
      <c r="D79" s="160" t="s">
        <v>76</v>
      </c>
      <c r="E79" s="160" t="s">
        <v>76</v>
      </c>
      <c r="F79" s="160" t="s">
        <v>76</v>
      </c>
      <c r="G79" s="158">
        <v>1</v>
      </c>
      <c r="H79" s="158">
        <v>1</v>
      </c>
      <c r="I79" s="160" t="s">
        <v>76</v>
      </c>
      <c r="J79" s="160" t="s">
        <v>76</v>
      </c>
      <c r="K79" s="160" t="s">
        <v>76</v>
      </c>
      <c r="L79" s="160" t="s">
        <v>76</v>
      </c>
      <c r="M79" s="160" t="s">
        <v>76</v>
      </c>
      <c r="N79" s="160" t="s">
        <v>76</v>
      </c>
      <c r="O79" s="160" t="s">
        <v>76</v>
      </c>
      <c r="P79" s="160" t="s">
        <v>76</v>
      </c>
    </row>
    <row r="80" spans="1:17" ht="12" x14ac:dyDescent="0.3">
      <c r="B80" s="62"/>
      <c r="C80" s="62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</row>
    <row r="81" spans="1:17" x14ac:dyDescent="0.35">
      <c r="B81" s="29" t="s">
        <v>196</v>
      </c>
      <c r="C81" s="62"/>
      <c r="D81" s="136"/>
      <c r="E81" s="136"/>
      <c r="F81" s="136"/>
      <c r="G81" s="136"/>
      <c r="H81" s="136"/>
      <c r="I81" s="136"/>
      <c r="J81" s="140"/>
      <c r="K81" s="138"/>
      <c r="L81" s="140"/>
      <c r="M81" s="136"/>
      <c r="N81" s="140"/>
      <c r="O81" s="136"/>
      <c r="P81" s="140"/>
    </row>
    <row r="82" spans="1:17" s="110" customFormat="1" ht="12" x14ac:dyDescent="0.3">
      <c r="A82" s="45"/>
      <c r="B82" s="28" t="s">
        <v>4</v>
      </c>
      <c r="C82" s="63" t="s">
        <v>74</v>
      </c>
      <c r="D82" s="160" t="s">
        <v>76</v>
      </c>
      <c r="E82" s="160" t="s">
        <v>76</v>
      </c>
      <c r="F82" s="160" t="s">
        <v>76</v>
      </c>
      <c r="G82" s="160" t="s">
        <v>76</v>
      </c>
      <c r="H82" s="160" t="s">
        <v>76</v>
      </c>
      <c r="I82" s="160" t="s">
        <v>76</v>
      </c>
      <c r="J82" s="160" t="s">
        <v>76</v>
      </c>
      <c r="K82" s="158">
        <v>0.8</v>
      </c>
      <c r="L82" s="158">
        <v>0.8</v>
      </c>
      <c r="M82" s="160" t="s">
        <v>76</v>
      </c>
      <c r="N82" s="160" t="s">
        <v>76</v>
      </c>
      <c r="O82" s="160" t="s">
        <v>76</v>
      </c>
      <c r="P82" s="160" t="s">
        <v>76</v>
      </c>
      <c r="Q82" s="45"/>
    </row>
    <row r="83" spans="1:17" s="110" customFormat="1" ht="12" x14ac:dyDescent="0.3">
      <c r="A83" s="45"/>
      <c r="B83" s="28" t="s">
        <v>5</v>
      </c>
      <c r="C83" s="63" t="s">
        <v>74</v>
      </c>
      <c r="D83" s="160" t="s">
        <v>76</v>
      </c>
      <c r="E83" s="160" t="s">
        <v>76</v>
      </c>
      <c r="F83" s="160" t="s">
        <v>76</v>
      </c>
      <c r="G83" s="160" t="s">
        <v>76</v>
      </c>
      <c r="H83" s="160" t="s">
        <v>76</v>
      </c>
      <c r="I83" s="160" t="s">
        <v>76</v>
      </c>
      <c r="J83" s="160" t="s">
        <v>76</v>
      </c>
      <c r="K83" s="158">
        <v>1</v>
      </c>
      <c r="L83" s="158">
        <v>1</v>
      </c>
      <c r="M83" s="160" t="s">
        <v>76</v>
      </c>
      <c r="N83" s="160" t="s">
        <v>76</v>
      </c>
      <c r="O83" s="160" t="s">
        <v>76</v>
      </c>
      <c r="P83" s="160" t="s">
        <v>76</v>
      </c>
      <c r="Q83" s="45"/>
    </row>
    <row r="84" spans="1:17" s="110" customFormat="1" ht="12" x14ac:dyDescent="0.3">
      <c r="A84" s="45"/>
      <c r="B84" s="28" t="s">
        <v>6</v>
      </c>
      <c r="C84" s="63" t="s">
        <v>74</v>
      </c>
      <c r="D84" s="160" t="s">
        <v>76</v>
      </c>
      <c r="E84" s="160" t="s">
        <v>76</v>
      </c>
      <c r="F84" s="160" t="s">
        <v>76</v>
      </c>
      <c r="G84" s="160" t="s">
        <v>76</v>
      </c>
      <c r="H84" s="160" t="s">
        <v>76</v>
      </c>
      <c r="I84" s="160" t="s">
        <v>76</v>
      </c>
      <c r="J84" s="160" t="s">
        <v>76</v>
      </c>
      <c r="K84" s="158">
        <v>0.8</v>
      </c>
      <c r="L84" s="158">
        <v>0.8</v>
      </c>
      <c r="M84" s="160" t="s">
        <v>76</v>
      </c>
      <c r="N84" s="160" t="s">
        <v>76</v>
      </c>
      <c r="O84" s="160" t="s">
        <v>76</v>
      </c>
      <c r="P84" s="160" t="s">
        <v>76</v>
      </c>
      <c r="Q84" s="45"/>
    </row>
    <row r="85" spans="1:17" s="110" customFormat="1" ht="12" x14ac:dyDescent="0.3">
      <c r="A85" s="45"/>
      <c r="B85" s="28" t="s">
        <v>60</v>
      </c>
      <c r="C85" s="63" t="s">
        <v>74</v>
      </c>
      <c r="D85" s="160" t="s">
        <v>76</v>
      </c>
      <c r="E85" s="160" t="s">
        <v>76</v>
      </c>
      <c r="F85" s="160" t="s">
        <v>76</v>
      </c>
      <c r="G85" s="160" t="s">
        <v>76</v>
      </c>
      <c r="H85" s="160" t="s">
        <v>76</v>
      </c>
      <c r="I85" s="160" t="s">
        <v>76</v>
      </c>
      <c r="J85" s="160" t="s">
        <v>76</v>
      </c>
      <c r="K85" s="158">
        <v>0</v>
      </c>
      <c r="L85" s="158">
        <v>0</v>
      </c>
      <c r="M85" s="160" t="s">
        <v>76</v>
      </c>
      <c r="N85" s="160" t="s">
        <v>76</v>
      </c>
      <c r="O85" s="160" t="s">
        <v>76</v>
      </c>
      <c r="P85" s="160" t="s">
        <v>76</v>
      </c>
      <c r="Q85" s="45"/>
    </row>
    <row r="86" spans="1:17" ht="12" x14ac:dyDescent="0.3">
      <c r="B86" s="28" t="s">
        <v>88</v>
      </c>
      <c r="C86" s="63" t="s">
        <v>74</v>
      </c>
      <c r="D86" s="160" t="s">
        <v>76</v>
      </c>
      <c r="E86" s="160" t="s">
        <v>76</v>
      </c>
      <c r="F86" s="160" t="s">
        <v>76</v>
      </c>
      <c r="G86" s="160" t="s">
        <v>76</v>
      </c>
      <c r="H86" s="160" t="s">
        <v>76</v>
      </c>
      <c r="I86" s="160" t="s">
        <v>76</v>
      </c>
      <c r="J86" s="160" t="s">
        <v>76</v>
      </c>
      <c r="K86" s="160" t="s">
        <v>76</v>
      </c>
      <c r="L86" s="160" t="s">
        <v>76</v>
      </c>
      <c r="M86" s="160" t="s">
        <v>76</v>
      </c>
      <c r="N86" s="160" t="s">
        <v>76</v>
      </c>
      <c r="O86" s="160" t="s">
        <v>76</v>
      </c>
      <c r="P86" s="160" t="s">
        <v>76</v>
      </c>
    </row>
    <row r="87" spans="1:17" ht="12" x14ac:dyDescent="0.3">
      <c r="B87" s="28" t="s">
        <v>89</v>
      </c>
      <c r="C87" s="63" t="s">
        <v>74</v>
      </c>
      <c r="D87" s="160" t="s">
        <v>76</v>
      </c>
      <c r="E87" s="160" t="s">
        <v>76</v>
      </c>
      <c r="F87" s="160" t="s">
        <v>76</v>
      </c>
      <c r="G87" s="160" t="s">
        <v>76</v>
      </c>
      <c r="H87" s="160" t="s">
        <v>76</v>
      </c>
      <c r="I87" s="160" t="s">
        <v>76</v>
      </c>
      <c r="J87" s="160" t="s">
        <v>76</v>
      </c>
      <c r="K87" s="160" t="s">
        <v>76</v>
      </c>
      <c r="L87" s="160" t="s">
        <v>76</v>
      </c>
      <c r="M87" s="160" t="s">
        <v>76</v>
      </c>
      <c r="N87" s="160" t="s">
        <v>76</v>
      </c>
      <c r="O87" s="160" t="s">
        <v>76</v>
      </c>
      <c r="P87" s="160" t="s">
        <v>76</v>
      </c>
    </row>
    <row r="88" spans="1:17" ht="12" x14ac:dyDescent="0.3">
      <c r="B88" s="62"/>
      <c r="C88" s="62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</row>
    <row r="89" spans="1:17" x14ac:dyDescent="0.35">
      <c r="B89" s="29" t="s">
        <v>194</v>
      </c>
      <c r="C89" s="62"/>
      <c r="D89" s="136"/>
      <c r="E89" s="136"/>
      <c r="F89" s="136"/>
      <c r="G89" s="136"/>
      <c r="H89" s="136"/>
      <c r="I89" s="136"/>
      <c r="J89" s="140"/>
      <c r="K89" s="138"/>
      <c r="L89" s="140"/>
      <c r="M89" s="136"/>
      <c r="N89" s="140"/>
      <c r="O89" s="136"/>
      <c r="P89" s="140"/>
    </row>
    <row r="90" spans="1:17" ht="12" x14ac:dyDescent="0.3">
      <c r="B90" s="28" t="s">
        <v>4</v>
      </c>
      <c r="C90" s="63" t="s">
        <v>74</v>
      </c>
      <c r="D90" s="160" t="s">
        <v>76</v>
      </c>
      <c r="E90" s="134">
        <v>0</v>
      </c>
      <c r="F90" s="134">
        <v>0</v>
      </c>
      <c r="G90" s="160" t="s">
        <v>76</v>
      </c>
      <c r="H90" s="160" t="s">
        <v>76</v>
      </c>
      <c r="I90" s="160" t="s">
        <v>76</v>
      </c>
      <c r="J90" s="160" t="s">
        <v>76</v>
      </c>
      <c r="K90" s="160" t="s">
        <v>76</v>
      </c>
      <c r="L90" s="160" t="s">
        <v>76</v>
      </c>
      <c r="M90" s="160" t="s">
        <v>76</v>
      </c>
      <c r="N90" s="160" t="s">
        <v>76</v>
      </c>
      <c r="O90" s="160" t="s">
        <v>76</v>
      </c>
      <c r="P90" s="160" t="s">
        <v>76</v>
      </c>
    </row>
    <row r="91" spans="1:17" ht="12" x14ac:dyDescent="0.3">
      <c r="B91" s="28" t="s">
        <v>5</v>
      </c>
      <c r="C91" s="63" t="s">
        <v>74</v>
      </c>
      <c r="D91" s="160" t="s">
        <v>76</v>
      </c>
      <c r="E91" s="134">
        <v>0</v>
      </c>
      <c r="F91" s="134">
        <v>0</v>
      </c>
      <c r="G91" s="160" t="s">
        <v>76</v>
      </c>
      <c r="H91" s="160" t="s">
        <v>76</v>
      </c>
      <c r="I91" s="160" t="s">
        <v>76</v>
      </c>
      <c r="J91" s="160" t="s">
        <v>76</v>
      </c>
      <c r="K91" s="160" t="s">
        <v>76</v>
      </c>
      <c r="L91" s="160" t="s">
        <v>76</v>
      </c>
      <c r="M91" s="160" t="s">
        <v>76</v>
      </c>
      <c r="N91" s="160" t="s">
        <v>76</v>
      </c>
      <c r="O91" s="160" t="s">
        <v>76</v>
      </c>
      <c r="P91" s="160" t="s">
        <v>76</v>
      </c>
    </row>
    <row r="92" spans="1:17" ht="12" x14ac:dyDescent="0.3">
      <c r="B92" s="28" t="s">
        <v>6</v>
      </c>
      <c r="C92" s="63" t="s">
        <v>74</v>
      </c>
      <c r="D92" s="160" t="s">
        <v>76</v>
      </c>
      <c r="E92" s="134">
        <v>1</v>
      </c>
      <c r="F92" s="134">
        <v>1</v>
      </c>
      <c r="G92" s="160" t="s">
        <v>76</v>
      </c>
      <c r="H92" s="160" t="s">
        <v>76</v>
      </c>
      <c r="I92" s="160" t="s">
        <v>76</v>
      </c>
      <c r="J92" s="160" t="s">
        <v>76</v>
      </c>
      <c r="K92" s="160" t="s">
        <v>76</v>
      </c>
      <c r="L92" s="160" t="s">
        <v>76</v>
      </c>
      <c r="M92" s="160" t="s">
        <v>76</v>
      </c>
      <c r="N92" s="160" t="s">
        <v>76</v>
      </c>
      <c r="O92" s="160" t="s">
        <v>76</v>
      </c>
      <c r="P92" s="160" t="s">
        <v>76</v>
      </c>
    </row>
    <row r="93" spans="1:17" ht="12" x14ac:dyDescent="0.3">
      <c r="B93" s="28" t="s">
        <v>60</v>
      </c>
      <c r="C93" s="63" t="s">
        <v>74</v>
      </c>
      <c r="D93" s="160" t="s">
        <v>76</v>
      </c>
      <c r="E93" s="134">
        <v>0</v>
      </c>
      <c r="F93" s="134">
        <v>0</v>
      </c>
      <c r="G93" s="160" t="s">
        <v>76</v>
      </c>
      <c r="H93" s="160" t="s">
        <v>76</v>
      </c>
      <c r="I93" s="160" t="s">
        <v>76</v>
      </c>
      <c r="J93" s="160" t="s">
        <v>76</v>
      </c>
      <c r="K93" s="160" t="s">
        <v>76</v>
      </c>
      <c r="L93" s="160" t="s">
        <v>76</v>
      </c>
      <c r="M93" s="160" t="s">
        <v>76</v>
      </c>
      <c r="N93" s="160" t="s">
        <v>76</v>
      </c>
      <c r="O93" s="160" t="s">
        <v>76</v>
      </c>
      <c r="P93" s="160" t="s">
        <v>76</v>
      </c>
    </row>
    <row r="94" spans="1:17" ht="12" x14ac:dyDescent="0.3">
      <c r="B94" s="28" t="s">
        <v>88</v>
      </c>
      <c r="C94" s="63" t="s">
        <v>74</v>
      </c>
      <c r="D94" s="160" t="s">
        <v>76</v>
      </c>
      <c r="E94" s="160" t="s">
        <v>76</v>
      </c>
      <c r="F94" s="160" t="s">
        <v>76</v>
      </c>
      <c r="G94" s="160" t="s">
        <v>76</v>
      </c>
      <c r="H94" s="160" t="s">
        <v>76</v>
      </c>
      <c r="I94" s="160" t="s">
        <v>76</v>
      </c>
      <c r="J94" s="160" t="s">
        <v>76</v>
      </c>
      <c r="K94" s="160" t="s">
        <v>76</v>
      </c>
      <c r="L94" s="160" t="s">
        <v>76</v>
      </c>
      <c r="M94" s="160" t="s">
        <v>76</v>
      </c>
      <c r="N94" s="160" t="s">
        <v>76</v>
      </c>
      <c r="O94" s="160" t="s">
        <v>76</v>
      </c>
      <c r="P94" s="160" t="s">
        <v>76</v>
      </c>
    </row>
    <row r="95" spans="1:17" ht="12" x14ac:dyDescent="0.3">
      <c r="B95" s="28" t="s">
        <v>89</v>
      </c>
      <c r="C95" s="63" t="s">
        <v>74</v>
      </c>
      <c r="D95" s="160" t="s">
        <v>76</v>
      </c>
      <c r="E95" s="160" t="s">
        <v>76</v>
      </c>
      <c r="F95" s="160" t="s">
        <v>76</v>
      </c>
      <c r="G95" s="160" t="s">
        <v>76</v>
      </c>
      <c r="H95" s="160" t="s">
        <v>76</v>
      </c>
      <c r="I95" s="160" t="s">
        <v>76</v>
      </c>
      <c r="J95" s="160" t="s">
        <v>76</v>
      </c>
      <c r="K95" s="160" t="s">
        <v>76</v>
      </c>
      <c r="L95" s="160" t="s">
        <v>76</v>
      </c>
      <c r="M95" s="160" t="s">
        <v>76</v>
      </c>
      <c r="N95" s="160" t="s">
        <v>76</v>
      </c>
      <c r="O95" s="160" t="s">
        <v>76</v>
      </c>
      <c r="P95" s="160" t="s">
        <v>76</v>
      </c>
    </row>
    <row r="96" spans="1:17" x14ac:dyDescent="0.35">
      <c r="D96" s="141"/>
      <c r="E96" s="141"/>
      <c r="F96" s="141"/>
      <c r="G96" s="141"/>
      <c r="H96" s="141"/>
      <c r="I96" s="136"/>
      <c r="J96" s="140"/>
      <c r="K96" s="136"/>
      <c r="L96" s="140"/>
      <c r="M96" s="136"/>
      <c r="N96" s="140"/>
      <c r="O96" s="136"/>
      <c r="P96" s="140"/>
    </row>
  </sheetData>
  <sheetProtection algorithmName="SHA-512" hashValue="n7LVC9EktMmScyMucVJBV4O4Ehp2EZMnRO1RdNsqSPPJTHmV4Rj3CPQC8pzz3S/diZnfH8KU8DS2B/9plYdx3Q==" saltValue="NN0W7ZMOCwDoid/L3e7ycQ==" spinCount="100000" sheet="1" objects="1" scenarios="1" formatCells="0" formatColumns="0" formatRows="0"/>
  <conditionalFormatting sqref="M74:P79 K5:K18 M54:M63 O54:O63 M5:M16 O5:O16 E3:E18 G3:G18 I8:I9 I10:J18 J6:J9 L6:L18 N6:N18 P6:P18 K65:K79 P45:P61 N45:N61 L45:L61 I45:J61 G45:G61 E45:E61 K45:K63 B2:P2 E5:P5 B3:O3 B4:P4 E52:Q53 E17:Q18 E45:Q45 B5:I7 E10:Q10 E26:Q26 E80:Q80 E60:Q60 B9:I18 E35:Q37 E65:P71 B62:P64 B33:Q34 B19:P32 B35:P60 K89:K95 G90:P95 E88:Q88 O65:O95 B65:I95 D82:J87 K81:K87 M65:M95 M82:P87">
    <cfRule type="containsText" dxfId="59" priority="57" operator="containsText" text="n/a">
      <formula>NOT(ISERROR(SEARCH("n/a",B2)))</formula>
    </cfRule>
  </conditionalFormatting>
  <conditionalFormatting sqref="P3">
    <cfRule type="containsText" dxfId="58" priority="54" operator="containsText" text="n/a">
      <formula>NOT(ISERROR(SEARCH("n/a",P3)))</formula>
    </cfRule>
  </conditionalFormatting>
  <conditionalFormatting sqref="J38:J41">
    <cfRule type="containsText" dxfId="57" priority="52" operator="containsText" text="n/a">
      <formula>NOT(ISERROR(SEARCH("n/a",J38)))</formula>
    </cfRule>
  </conditionalFormatting>
  <conditionalFormatting sqref="L38:L41">
    <cfRule type="containsText" dxfId="56" priority="51" operator="containsText" text="n/a">
      <formula>NOT(ISERROR(SEARCH("n/a",L38)))</formula>
    </cfRule>
  </conditionalFormatting>
  <conditionalFormatting sqref="N38:N41">
    <cfRule type="containsText" dxfId="55" priority="50" operator="containsText" text="n/a">
      <formula>NOT(ISERROR(SEARCH("n/a",N38)))</formula>
    </cfRule>
  </conditionalFormatting>
  <conditionalFormatting sqref="P38:P41">
    <cfRule type="containsText" dxfId="54" priority="49" operator="containsText" text="n/a">
      <formula>NOT(ISERROR(SEARCH("n/a",P38)))</formula>
    </cfRule>
  </conditionalFormatting>
  <conditionalFormatting sqref="J74:J79">
    <cfRule type="containsText" dxfId="53" priority="48" operator="containsText" text="n/a">
      <formula>NOT(ISERROR(SEARCH("n/a",J74)))</formula>
    </cfRule>
  </conditionalFormatting>
  <conditionalFormatting sqref="L74:L79">
    <cfRule type="containsText" dxfId="52" priority="47" operator="containsText" text="n/a">
      <formula>NOT(ISERROR(SEARCH("n/a",L74)))</formula>
    </cfRule>
  </conditionalFormatting>
  <conditionalFormatting sqref="N27:N30">
    <cfRule type="containsText" dxfId="51" priority="46" operator="containsText" text="n/a">
      <formula>NOT(ISERROR(SEARCH("n/a",N27)))</formula>
    </cfRule>
  </conditionalFormatting>
  <conditionalFormatting sqref="P27:P30">
    <cfRule type="containsText" dxfId="50" priority="45" operator="containsText" text="n/a">
      <formula>NOT(ISERROR(SEARCH("n/a",P27)))</formula>
    </cfRule>
  </conditionalFormatting>
  <conditionalFormatting sqref="L11:L16">
    <cfRule type="containsText" dxfId="49" priority="44" operator="containsText" text="n/a">
      <formula>NOT(ISERROR(SEARCH("n/a",L11)))</formula>
    </cfRule>
  </conditionalFormatting>
  <conditionalFormatting sqref="N11:N16">
    <cfRule type="containsText" dxfId="48" priority="43" operator="containsText" text="n/a">
      <formula>NOT(ISERROR(SEARCH("n/a",N11)))</formula>
    </cfRule>
  </conditionalFormatting>
  <conditionalFormatting sqref="P11:P16">
    <cfRule type="containsText" dxfId="47" priority="42" operator="containsText" text="n/a">
      <formula>NOT(ISERROR(SEARCH("n/a",P11)))</formula>
    </cfRule>
  </conditionalFormatting>
  <conditionalFormatting sqref="J46:J51">
    <cfRule type="containsText" dxfId="46" priority="37" operator="containsText" text="n/a">
      <formula>NOT(ISERROR(SEARCH("n/a",J46)))</formula>
    </cfRule>
  </conditionalFormatting>
  <conditionalFormatting sqref="L46:L51">
    <cfRule type="containsText" dxfId="45" priority="36" operator="containsText" text="n/a">
      <formula>NOT(ISERROR(SEARCH("n/a",L46)))</formula>
    </cfRule>
  </conditionalFormatting>
  <conditionalFormatting sqref="N46:N51">
    <cfRule type="containsText" dxfId="44" priority="35" operator="containsText" text="n/a">
      <formula>NOT(ISERROR(SEARCH("n/a",N46)))</formula>
    </cfRule>
  </conditionalFormatting>
  <conditionalFormatting sqref="P46:P51">
    <cfRule type="containsText" dxfId="43" priority="34" operator="containsText" text="n/a">
      <formula>NOT(ISERROR(SEARCH("n/a",P46)))</formula>
    </cfRule>
  </conditionalFormatting>
  <conditionalFormatting sqref="J54:J59">
    <cfRule type="containsText" dxfId="42" priority="33" operator="containsText" text="n/a">
      <formula>NOT(ISERROR(SEARCH("n/a",J54)))</formula>
    </cfRule>
  </conditionalFormatting>
  <conditionalFormatting sqref="L54:L59">
    <cfRule type="containsText" dxfId="41" priority="32" operator="containsText" text="n/a">
      <formula>NOT(ISERROR(SEARCH("n/a",L54)))</formula>
    </cfRule>
  </conditionalFormatting>
  <conditionalFormatting sqref="N54:N59">
    <cfRule type="containsText" dxfId="40" priority="31" operator="containsText" text="n/a">
      <formula>NOT(ISERROR(SEARCH("n/a",N54)))</formula>
    </cfRule>
  </conditionalFormatting>
  <conditionalFormatting sqref="P54:P59">
    <cfRule type="containsText" dxfId="39" priority="30" operator="containsText" text="n/a">
      <formula>NOT(ISERROR(SEARCH("n/a",P54)))</formula>
    </cfRule>
  </conditionalFormatting>
  <conditionalFormatting sqref="J23:J24">
    <cfRule type="containsText" dxfId="38" priority="21" operator="containsText" text="n/a">
      <formula>NOT(ISERROR(SEARCH("n/a",J23)))</formula>
    </cfRule>
  </conditionalFormatting>
  <conditionalFormatting sqref="L23:L24">
    <cfRule type="containsText" dxfId="37" priority="20" operator="containsText" text="n/a">
      <formula>NOT(ISERROR(SEARCH("n/a",L23)))</formula>
    </cfRule>
  </conditionalFormatting>
  <conditionalFormatting sqref="N23:N24">
    <cfRule type="containsText" dxfId="36" priority="19" operator="containsText" text="n/a">
      <formula>NOT(ISERROR(SEARCH("n/a",N23)))</formula>
    </cfRule>
  </conditionalFormatting>
  <conditionalFormatting sqref="P23:P24">
    <cfRule type="containsText" dxfId="35" priority="18" operator="containsText" text="n/a">
      <formula>NOT(ISERROR(SEARCH("n/a",P23)))</formula>
    </cfRule>
  </conditionalFormatting>
  <conditionalFormatting sqref="F38:F41">
    <cfRule type="containsText" dxfId="34" priority="16" operator="containsText" text="n/a">
      <formula>NOT(ISERROR(SEARCH("n/a",F38)))</formula>
    </cfRule>
  </conditionalFormatting>
  <conditionalFormatting sqref="H38:H41">
    <cfRule type="containsText" dxfId="33" priority="15" operator="containsText" text="n/a">
      <formula>NOT(ISERROR(SEARCH("n/a",H38)))</formula>
    </cfRule>
  </conditionalFormatting>
  <conditionalFormatting sqref="J31:J32">
    <cfRule type="containsText" dxfId="32" priority="14" operator="containsText" text="n/a">
      <formula>NOT(ISERROR(SEARCH("n/a",J31)))</formula>
    </cfRule>
  </conditionalFormatting>
  <conditionalFormatting sqref="L31:L32">
    <cfRule type="containsText" dxfId="31" priority="13" operator="containsText" text="n/a">
      <formula>NOT(ISERROR(SEARCH("n/a",L31)))</formula>
    </cfRule>
  </conditionalFormatting>
  <conditionalFormatting sqref="N31:N32">
    <cfRule type="containsText" dxfId="30" priority="12" operator="containsText" text="n/a">
      <formula>NOT(ISERROR(SEARCH("n/a",N31)))</formula>
    </cfRule>
  </conditionalFormatting>
  <conditionalFormatting sqref="P31:P32">
    <cfRule type="containsText" dxfId="29" priority="11" operator="containsText" text="n/a">
      <formula>NOT(ISERROR(SEARCH("n/a",P31)))</formula>
    </cfRule>
  </conditionalFormatting>
  <conditionalFormatting sqref="J42:J44">
    <cfRule type="containsText" dxfId="28" priority="10" operator="containsText" text="n/a">
      <formula>NOT(ISERROR(SEARCH("n/a",J42)))</formula>
    </cfRule>
  </conditionalFormatting>
  <conditionalFormatting sqref="L42:L44">
    <cfRule type="containsText" dxfId="27" priority="9" operator="containsText" text="n/a">
      <formula>NOT(ISERROR(SEARCH("n/a",L42)))</formula>
    </cfRule>
  </conditionalFormatting>
  <conditionalFormatting sqref="N42:N44">
    <cfRule type="containsText" dxfId="26" priority="8" operator="containsText" text="n/a">
      <formula>NOT(ISERROR(SEARCH("n/a",N42)))</formula>
    </cfRule>
  </conditionalFormatting>
  <conditionalFormatting sqref="P42:P44">
    <cfRule type="containsText" dxfId="25" priority="7" operator="containsText" text="n/a">
      <formula>NOT(ISERROR(SEARCH("n/a",P42)))</formula>
    </cfRule>
  </conditionalFormatting>
  <conditionalFormatting sqref="J90:J95">
    <cfRule type="containsText" dxfId="24" priority="6" operator="containsText" text="n/a">
      <formula>NOT(ISERROR(SEARCH("n/a",J90)))</formula>
    </cfRule>
  </conditionalFormatting>
  <conditionalFormatting sqref="L90:L95">
    <cfRule type="containsText" dxfId="23" priority="5" operator="containsText" text="n/a">
      <formula>NOT(ISERROR(SEARCH("n/a",L90)))</formula>
    </cfRule>
  </conditionalFormatting>
  <conditionalFormatting sqref="J82:J87">
    <cfRule type="containsText" dxfId="22" priority="4" operator="containsText" text="n/a">
      <formula>NOT(ISERROR(SEARCH("n/a",J82)))</formula>
    </cfRule>
  </conditionalFormatting>
  <conditionalFormatting sqref="L86:L87">
    <cfRule type="containsText" dxfId="21" priority="3" operator="containsText" text="n/a">
      <formula>NOT(ISERROR(SEARCH("n/a",L86)))</formula>
    </cfRule>
  </conditionalFormatting>
  <conditionalFormatting sqref="L82:L85">
    <cfRule type="containsText" dxfId="20" priority="2" operator="containsText" text="n/a">
      <formula>NOT(ISERROR(SEARCH("n/a",L82)))</formula>
    </cfRule>
  </conditionalFormatting>
  <conditionalFormatting sqref="M82:P87">
    <cfRule type="containsText" dxfId="19" priority="1" operator="containsText" text="n/a">
      <formula>NOT(ISERROR(SEARCH("n/a",M82)))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3261-8260-480B-9D9D-CA5F8BA3373E}">
  <dimension ref="B2:P48"/>
  <sheetViews>
    <sheetView showGridLines="0" zoomScale="70" zoomScaleNormal="70" workbookViewId="0">
      <pane ySplit="2" topLeftCell="A13" activePane="bottomLeft" state="frozen"/>
      <selection pane="bottomLeft" activeCell="A19" sqref="A19"/>
    </sheetView>
  </sheetViews>
  <sheetFormatPr defaultColWidth="8.7265625" defaultRowHeight="12" x14ac:dyDescent="0.3"/>
  <cols>
    <col min="1" max="1" width="2.1796875" style="45" customWidth="1"/>
    <col min="2" max="2" width="25.36328125" style="45" customWidth="1"/>
    <col min="3" max="6" width="14.6328125" style="45" customWidth="1"/>
    <col min="7" max="7" width="15" style="45" customWidth="1"/>
    <col min="8" max="8" width="14.6328125" style="45" customWidth="1"/>
    <col min="9" max="9" width="8.7265625" style="45"/>
    <col min="10" max="10" width="25.36328125" style="45" customWidth="1"/>
    <col min="11" max="16" width="14.6328125" style="45" customWidth="1"/>
    <col min="17" max="16384" width="8.7265625" style="45"/>
  </cols>
  <sheetData>
    <row r="2" spans="2:16" ht="18.5" customHeight="1" x14ac:dyDescent="0.3">
      <c r="B2" s="165" t="s">
        <v>151</v>
      </c>
      <c r="C2" s="120" t="s">
        <v>200</v>
      </c>
      <c r="D2" s="120"/>
      <c r="E2" s="163" t="str" cm="1">
        <f t="array" ref="E2">INDEX(Inputs!$D$6:$P$6,,MATCH(Results!C$2,Inputs!$D$5:$P$5,0))</f>
        <v>p.121 (Box 5)</v>
      </c>
      <c r="F2" s="164"/>
      <c r="G2" s="122" t="s">
        <v>187</v>
      </c>
      <c r="J2" s="165" t="s">
        <v>151</v>
      </c>
      <c r="K2" s="120" t="s">
        <v>188</v>
      </c>
      <c r="L2" s="120"/>
      <c r="M2" s="163" t="str" cm="1">
        <f t="array" ref="M2">INDEX(Inputs!$D$6:$P$6,,MATCH(Results!K$2,Inputs!$D$5:$P$5,0))</f>
        <v>p.42-43</v>
      </c>
      <c r="N2" s="164"/>
      <c r="O2" s="122" t="s">
        <v>187</v>
      </c>
    </row>
    <row r="4" spans="2:16" x14ac:dyDescent="0.3">
      <c r="B4" s="48" t="s">
        <v>192</v>
      </c>
      <c r="J4" s="48" t="s">
        <v>192</v>
      </c>
    </row>
    <row r="5" spans="2:16" x14ac:dyDescent="0.3">
      <c r="C5" s="114" t="s">
        <v>1</v>
      </c>
      <c r="D5" s="114" t="s">
        <v>165</v>
      </c>
      <c r="E5" s="114" t="s">
        <v>67</v>
      </c>
      <c r="F5" s="114" t="s">
        <v>74</v>
      </c>
      <c r="G5" s="114" t="s">
        <v>109</v>
      </c>
      <c r="H5" s="114" t="s">
        <v>194</v>
      </c>
      <c r="K5" s="114" t="s">
        <v>1</v>
      </c>
      <c r="L5" s="114" t="s">
        <v>165</v>
      </c>
      <c r="M5" s="114" t="s">
        <v>67</v>
      </c>
      <c r="N5" s="114" t="s">
        <v>74</v>
      </c>
      <c r="O5" s="114" t="s">
        <v>109</v>
      </c>
      <c r="P5" s="114" t="s">
        <v>194</v>
      </c>
    </row>
    <row r="6" spans="2:16" x14ac:dyDescent="0.3">
      <c r="C6" s="115" t="s">
        <v>48</v>
      </c>
      <c r="D6" s="115" t="s">
        <v>48</v>
      </c>
      <c r="E6" s="115" t="s">
        <v>48</v>
      </c>
      <c r="F6" s="115" t="s">
        <v>193</v>
      </c>
      <c r="G6" s="115" t="s">
        <v>193</v>
      </c>
      <c r="H6" s="115" t="s">
        <v>64</v>
      </c>
      <c r="K6" s="115" t="s">
        <v>48</v>
      </c>
      <c r="L6" s="115" t="s">
        <v>48</v>
      </c>
      <c r="M6" s="115" t="s">
        <v>48</v>
      </c>
      <c r="N6" s="115" t="s">
        <v>193</v>
      </c>
      <c r="O6" s="115" t="s">
        <v>193</v>
      </c>
      <c r="P6" s="115" t="s">
        <v>64</v>
      </c>
    </row>
    <row r="7" spans="2:16" x14ac:dyDescent="0.3">
      <c r="B7" s="28" t="s">
        <v>4</v>
      </c>
      <c r="C7" s="124">
        <f>INDEX(Inputs!$D$27:$P$32,MATCH(Results!$B7,Inputs!$B$27:$B$32,0),MATCH(Results!$C$2,Inputs!$D$5:$P$5,0))</f>
        <v>20</v>
      </c>
      <c r="D7" s="124">
        <f>INDEX(Inputs!$D$11:$P$16,MATCH(Results!$B7,Inputs!$B$11:$B$16,0),MATCH(Results!$C$2,Inputs!$D$5:$P$5,0))</f>
        <v>20</v>
      </c>
      <c r="E7" s="124">
        <f>INDEX(Inputs!$D$19:$P$24,MATCH(Results!$B7,Inputs!$B$19:$B$24,0),MATCH(Results!$C$2,Inputs!$D$5:$P$5,0))</f>
        <v>20</v>
      </c>
      <c r="F7" s="157">
        <f>INDEX(Inputs!$D$74:$P$79,MATCH(Results!$B7,Inputs!$B$74:$B$79,0),MATCH(Results!$C$2,Inputs!$D$5:$P$5,0))</f>
        <v>0.75</v>
      </c>
      <c r="G7" s="161" t="str">
        <f>INDEX(Inputs!$D$82:$P$87,MATCH(Results!$B7,Inputs!$B$82:$B$87,0),MATCH(Results!$C$2,Inputs!$D$5:$P$5,0))</f>
        <v>n/a</v>
      </c>
      <c r="H7" s="125" t="str">
        <f>INDEX(Inputs!$D$90:$P$95,MATCH(Results!$B7,Inputs!$B$90:$B$95,0),MATCH(Results!$C$2,Inputs!$D$5:$P$5,0))</f>
        <v>n/a</v>
      </c>
      <c r="J7" s="28" t="s">
        <v>4</v>
      </c>
      <c r="K7" s="124">
        <f>INDEX(Inputs!$D$27:$P$32,MATCH(Results!$B7,Inputs!$B$27:$B$32,0),MATCH(Results!$K$2,Inputs!$D$5:$P$5,0))</f>
        <v>0</v>
      </c>
      <c r="L7" s="124">
        <f>INDEX(Inputs!$D$11:$P$16,MATCH(Results!$B7,Inputs!$B$11:$B$16,0),MATCH(Results!$K$2,Inputs!$D$5:$P$5,0))</f>
        <v>-1000</v>
      </c>
      <c r="M7" s="124">
        <f>INDEX(Inputs!$D$19:$P$24,MATCH(Results!$B7,Inputs!$B$19:$B$24,0),MATCH(Results!$K$2,Inputs!$D$5:$P$5,0))</f>
        <v>0</v>
      </c>
      <c r="N7" s="157">
        <f>INDEX(Inputs!$D$74:$P$79,MATCH(Results!$J7,Inputs!$B$74:$B$79,0),MATCH(Results!$K$2,Inputs!$D$5:$P$5,0))</f>
        <v>0.75</v>
      </c>
      <c r="O7" s="161" t="str">
        <f>INDEX(Inputs!$D$82:$P$87,MATCH(Results!$J7,Inputs!$B$82:$B$87,0),MATCH(Results!$K$2,Inputs!$D$5:$P$5,0))</f>
        <v>n/a</v>
      </c>
      <c r="P7" s="125">
        <f>INDEX(Inputs!$D$90:$P$95,MATCH(Results!$J7,Inputs!$B$90:$B$95,0),MATCH(Results!$K$2,Inputs!$D$5:$P$5,0))</f>
        <v>0</v>
      </c>
    </row>
    <row r="8" spans="2:16" x14ac:dyDescent="0.3">
      <c r="B8" s="28" t="s">
        <v>5</v>
      </c>
      <c r="C8" s="124">
        <f>INDEX(Inputs!$D$27:$P$32,MATCH(Results!$B8,Inputs!$B$27:$B$32,0),MATCH(Results!C$2,Inputs!$D$5:$P$5,0))</f>
        <v>0</v>
      </c>
      <c r="D8" s="124">
        <f>INDEX(Inputs!$D$11:$P$16,MATCH(Results!$B8,Inputs!$B$11:$B$16,0),MATCH(Results!$C$2,Inputs!$D$5:$P$5,0))</f>
        <v>-1000</v>
      </c>
      <c r="E8" s="124">
        <f>INDEX(Inputs!$D$19:$P$24,MATCH(Results!$B8,Inputs!$B$19:$B$24,0),MATCH(Results!$C$2,Inputs!$D$5:$P$5,0))</f>
        <v>0</v>
      </c>
      <c r="F8" s="157">
        <f>INDEX(Inputs!$D$74:$P$79,MATCH(Results!$B8,Inputs!$B$74:$B$79,0),MATCH(Results!$C$2,Inputs!$D$5:$P$5,0))</f>
        <v>1</v>
      </c>
      <c r="G8" s="161" t="str">
        <f>INDEX(Inputs!$D$82:$P$87,MATCH(Results!$B8,Inputs!$B$82:$B$87,0),MATCH(Results!$C$2,Inputs!$D$5:$P$5,0))</f>
        <v>n/a</v>
      </c>
      <c r="H8" s="125" t="str">
        <f>INDEX(Inputs!$D$90:$P$95,MATCH(Results!$B8,Inputs!$B$90:$B$95,0),MATCH(Results!$C$2,Inputs!$D$5:$P$5,0))</f>
        <v>n/a</v>
      </c>
      <c r="J8" s="28" t="s">
        <v>5</v>
      </c>
      <c r="K8" s="124">
        <f>INDEX(Inputs!$D$27:$P$32,MATCH(Results!$B8,Inputs!$B$27:$B$32,0),MATCH(Results!$K$2,Inputs!$D$5:$P$5,0))</f>
        <v>0</v>
      </c>
      <c r="L8" s="124">
        <f>INDEX(Inputs!$D$11:$P$16,MATCH(Results!$B8,Inputs!$B$11:$B$16,0),MATCH(Results!$K$2,Inputs!$D$5:$P$5,0))</f>
        <v>-1000</v>
      </c>
      <c r="M8" s="124">
        <f>INDEX(Inputs!$D$19:$P$24,MATCH(Results!$B8,Inputs!$B$19:$B$24,0),MATCH(Results!$K$2,Inputs!$D$5:$P$5,0))</f>
        <v>0</v>
      </c>
      <c r="N8" s="157">
        <f>INDEX(Inputs!$D$74:$P$79,MATCH(Results!$J8,Inputs!$B$74:$B$79,0),MATCH(Results!$K$2,Inputs!$D$5:$P$5,0))</f>
        <v>1</v>
      </c>
      <c r="O8" s="161" t="str">
        <f>INDEX(Inputs!$D$82:$P$87,MATCH(Results!$J8,Inputs!$B$82:$B$87,0),MATCH(Results!$K$2,Inputs!$D$5:$P$5,0))</f>
        <v>n/a</v>
      </c>
      <c r="P8" s="125">
        <f>INDEX(Inputs!$D$90:$P$95,MATCH(Results!$J8,Inputs!$B$90:$B$95,0),MATCH(Results!$K$2,Inputs!$D$5:$P$5,0))</f>
        <v>0</v>
      </c>
    </row>
    <row r="9" spans="2:16" x14ac:dyDescent="0.3">
      <c r="B9" s="28" t="s">
        <v>6</v>
      </c>
      <c r="C9" s="124">
        <f>INDEX(Inputs!$D$27:$P$32,MATCH(Results!$B9,Inputs!$B$27:$B$32,0),MATCH(Results!C$2,Inputs!$D$5:$P$5,0))</f>
        <v>0</v>
      </c>
      <c r="D9" s="124">
        <f>INDEX(Inputs!$D$11:$P$16,MATCH(Results!$B9,Inputs!$B$11:$B$16,0),MATCH(Results!$C$2,Inputs!$D$5:$P$5,0))</f>
        <v>-1000</v>
      </c>
      <c r="E9" s="124">
        <f>INDEX(Inputs!$D$19:$P$24,MATCH(Results!$B9,Inputs!$B$19:$B$24,0),MATCH(Results!$C$2,Inputs!$D$5:$P$5,0))</f>
        <v>0</v>
      </c>
      <c r="F9" s="157">
        <f>INDEX(Inputs!$D$74:$P$79,MATCH(Results!$B9,Inputs!$B$74:$B$79,0),MATCH(Results!$C$2,Inputs!$D$5:$P$5,0))</f>
        <v>0.3</v>
      </c>
      <c r="G9" s="161" t="str">
        <f>INDEX(Inputs!$D$82:$P$87,MATCH(Results!$B9,Inputs!$B$82:$B$87,0),MATCH(Results!$C$2,Inputs!$D$5:$P$5,0))</f>
        <v>n/a</v>
      </c>
      <c r="H9" s="125" t="str">
        <f>INDEX(Inputs!$D$90:$P$95,MATCH(Results!$B9,Inputs!$B$90:$B$95,0),MATCH(Results!$C$2,Inputs!$D$5:$P$5,0))</f>
        <v>n/a</v>
      </c>
      <c r="J9" s="28" t="s">
        <v>6</v>
      </c>
      <c r="K9" s="124">
        <f>INDEX(Inputs!$D$27:$P$32,MATCH(Results!$B9,Inputs!$B$27:$B$32,0),MATCH(Results!$K$2,Inputs!$D$5:$P$5,0))</f>
        <v>0</v>
      </c>
      <c r="L9" s="124">
        <f>INDEX(Inputs!$D$11:$P$16,MATCH(Results!$B9,Inputs!$B$11:$B$16,0),MATCH(Results!$K$2,Inputs!$D$5:$P$5,0))</f>
        <v>-1000</v>
      </c>
      <c r="M9" s="124">
        <f>INDEX(Inputs!$D$19:$P$24,MATCH(Results!$B9,Inputs!$B$19:$B$24,0),MATCH(Results!$K$2,Inputs!$D$5:$P$5,0))</f>
        <v>0</v>
      </c>
      <c r="N9" s="157">
        <f>INDEX(Inputs!$D$74:$P$79,MATCH(Results!$J9,Inputs!$B$74:$B$79,0),MATCH(Results!$K$2,Inputs!$D$5:$P$5,0))</f>
        <v>0.3</v>
      </c>
      <c r="O9" s="161" t="str">
        <f>INDEX(Inputs!$D$82:$P$87,MATCH(Results!$J9,Inputs!$B$82:$B$87,0),MATCH(Results!$K$2,Inputs!$D$5:$P$5,0))</f>
        <v>n/a</v>
      </c>
      <c r="P9" s="125">
        <f>INDEX(Inputs!$D$90:$P$95,MATCH(Results!$J9,Inputs!$B$90:$B$95,0),MATCH(Results!$K$2,Inputs!$D$5:$P$5,0))</f>
        <v>1</v>
      </c>
    </row>
    <row r="10" spans="2:16" x14ac:dyDescent="0.3">
      <c r="B10" s="28" t="s">
        <v>60</v>
      </c>
      <c r="C10" s="124">
        <f>INDEX(Inputs!$D$27:$P$32,MATCH(Results!$B10,Inputs!$B$27:$B$32,0),MATCH(Results!C$2,Inputs!$D$5:$P$5,0))</f>
        <v>15</v>
      </c>
      <c r="D10" s="124">
        <f>INDEX(Inputs!$D$11:$P$16,MATCH(Results!$B10,Inputs!$B$11:$B$16,0),MATCH(Results!$C$2,Inputs!$D$5:$P$5,0))</f>
        <v>15</v>
      </c>
      <c r="E10" s="124">
        <f>INDEX(Inputs!$D$19:$P$24,MATCH(Results!$B10,Inputs!$B$19:$B$24,0),MATCH(Results!$C$2,Inputs!$D$5:$P$5,0))</f>
        <v>15</v>
      </c>
      <c r="F10" s="157">
        <f>INDEX(Inputs!$D$74:$P$79,MATCH(Results!$B10,Inputs!$B$74:$B$79,0),MATCH(Results!$C$2,Inputs!$D$5:$P$5,0))</f>
        <v>0</v>
      </c>
      <c r="G10" s="161" t="str">
        <f>INDEX(Inputs!$D$82:$P$87,MATCH(Results!$B10,Inputs!$B$82:$B$87,0),MATCH(Results!$C$2,Inputs!$D$5:$P$5,0))</f>
        <v>n/a</v>
      </c>
      <c r="H10" s="125" t="str">
        <f>INDEX(Inputs!$D$90:$P$95,MATCH(Results!$B10,Inputs!$B$90:$B$95,0),MATCH(Results!$C$2,Inputs!$D$5:$P$5,0))</f>
        <v>n/a</v>
      </c>
      <c r="J10" s="28" t="s">
        <v>60</v>
      </c>
      <c r="K10" s="124">
        <f>INDEX(Inputs!$D$27:$P$32,MATCH(Results!$B10,Inputs!$B$27:$B$32,0),MATCH(Results!$K$2,Inputs!$D$5:$P$5,0))</f>
        <v>15</v>
      </c>
      <c r="L10" s="124">
        <f>INDEX(Inputs!$D$11:$P$16,MATCH(Results!$B10,Inputs!$B$11:$B$16,0),MATCH(Results!$K$2,Inputs!$D$5:$P$5,0))</f>
        <v>15</v>
      </c>
      <c r="M10" s="124">
        <f>INDEX(Inputs!$D$19:$P$24,MATCH(Results!$B10,Inputs!$B$19:$B$24,0),MATCH(Results!$K$2,Inputs!$D$5:$P$5,0))</f>
        <v>15</v>
      </c>
      <c r="N10" s="157">
        <f>INDEX(Inputs!$D$74:$P$79,MATCH(Results!$J10,Inputs!$B$74:$B$79,0),MATCH(Results!$K$2,Inputs!$D$5:$P$5,0))</f>
        <v>0</v>
      </c>
      <c r="O10" s="161" t="str">
        <f>INDEX(Inputs!$D$82:$P$87,MATCH(Results!$J10,Inputs!$B$82:$B$87,0),MATCH(Results!$K$2,Inputs!$D$5:$P$5,0))</f>
        <v>n/a</v>
      </c>
      <c r="P10" s="125">
        <f>INDEX(Inputs!$D$90:$P$95,MATCH(Results!$J10,Inputs!$B$90:$B$95,0),MATCH(Results!$K$2,Inputs!$D$5:$P$5,0))</f>
        <v>0</v>
      </c>
    </row>
    <row r="11" spans="2:16" x14ac:dyDescent="0.3">
      <c r="B11" s="28" t="s">
        <v>88</v>
      </c>
      <c r="C11" s="125" t="str">
        <f>INDEX(Inputs!$D$27:$P$32,MATCH(Results!$B11,Inputs!$B$27:$B$32,0),MATCH(Results!C$2,Inputs!$D$5:$P$5,0))</f>
        <v>n/a</v>
      </c>
      <c r="D11" s="125" t="str">
        <f>INDEX(Inputs!$D$11:$P$16,MATCH(Results!$B11,Inputs!$B$11:$B$16,0),MATCH(Results!$C$2,Inputs!$D$5:$P$5,0))</f>
        <v>n/a</v>
      </c>
      <c r="E11" s="125" t="str">
        <f>INDEX(Inputs!$D$19:$P$24,MATCH(Results!$B11,Inputs!$B$19:$B$24,0),MATCH(Results!$C$2,Inputs!$D$5:$P$5,0))</f>
        <v>n/a</v>
      </c>
      <c r="F11" s="162" t="str">
        <f>INDEX(Inputs!$D$74:$P$79,MATCH(Results!$B11,Inputs!$B$74:$B$79,0),MATCH(Results!$C$2,Inputs!$D$5:$P$5,0))</f>
        <v>n/a</v>
      </c>
      <c r="G11" s="125" t="str">
        <f>INDEX(Inputs!$D$82:$P$87,MATCH(Results!$B11,Inputs!$B$82:$B$87,0),MATCH(Results!$C$2,Inputs!$D$5:$P$5,0))</f>
        <v>n/a</v>
      </c>
      <c r="H11" s="125" t="str">
        <f>INDEX(Inputs!$D$90:$P$95,MATCH(Results!$B11,Inputs!$B$90:$B$95,0),MATCH(Results!$C$2,Inputs!$D$5:$P$5,0))</f>
        <v>n/a</v>
      </c>
      <c r="J11" s="28" t="s">
        <v>88</v>
      </c>
      <c r="K11" s="125" t="str">
        <f>INDEX(Inputs!$D$27:$P$32,MATCH(Results!$B11,Inputs!$B$27:$B$32,0),MATCH(Results!$K$2,Inputs!$D$5:$P$5,0))</f>
        <v>n/a</v>
      </c>
      <c r="L11" s="125" t="str">
        <f>INDEX(Inputs!$D$11:$P$16,MATCH(Results!$B11,Inputs!$B$11:$B$16,0),MATCH(Results!$K$2,Inputs!$D$5:$P$5,0))</f>
        <v>n/a</v>
      </c>
      <c r="M11" s="125" t="str">
        <f>INDEX(Inputs!$D$19:$P$24,MATCH(Results!$B11,Inputs!$B$19:$B$24,0),MATCH(Results!$K$2,Inputs!$D$5:$P$5,0))</f>
        <v>n/a</v>
      </c>
      <c r="N11" s="162" t="str">
        <f>INDEX(Inputs!$D$74:$P$79,MATCH(Results!$J11,Inputs!$B$74:$B$79,0),MATCH(Results!$K$2,Inputs!$D$5:$P$5,0))</f>
        <v>n/a</v>
      </c>
      <c r="O11" s="161" t="str">
        <f>INDEX(Inputs!$D$82:$P$87,MATCH(Results!$J11,Inputs!$B$82:$B$87,0),MATCH(Results!$K$2,Inputs!$D$5:$P$5,0))</f>
        <v>n/a</v>
      </c>
      <c r="P11" s="125" t="str">
        <f>INDEX(Inputs!$D$90:$P$95,MATCH(Results!$J11,Inputs!$B$90:$B$95,0),MATCH(Results!$K$2,Inputs!$D$5:$P$5,0))</f>
        <v>n/a</v>
      </c>
    </row>
    <row r="12" spans="2:16" x14ac:dyDescent="0.3">
      <c r="B12" s="28" t="s">
        <v>89</v>
      </c>
      <c r="C12" s="125" t="str">
        <f>INDEX(Inputs!$D$27:$P$32,MATCH(Results!$B12,Inputs!$B$27:$B$32,0),MATCH(Results!C$2,Inputs!$D$5:$P$5,0))</f>
        <v>n/a</v>
      </c>
      <c r="D12" s="125" t="str">
        <f>INDEX(Inputs!$D$11:$P$16,MATCH(Results!$B12,Inputs!$B$11:$B$16,0),MATCH(Results!$C$2,Inputs!$D$5:$P$5,0))</f>
        <v>n/a</v>
      </c>
      <c r="E12" s="125" t="str">
        <f>INDEX(Inputs!$D$19:$P$24,MATCH(Results!$B12,Inputs!$B$19:$B$24,0),MATCH(Results!$C$2,Inputs!$D$5:$P$5,0))</f>
        <v>n/a</v>
      </c>
      <c r="F12" s="162" t="str">
        <f>INDEX(Inputs!$D$74:$P$79,MATCH(Results!$B12,Inputs!$B$74:$B$79,0),MATCH(Results!$C$2,Inputs!$D$5:$P$5,0))</f>
        <v>n/a</v>
      </c>
      <c r="G12" s="125" t="str">
        <f>INDEX(Inputs!$D$82:$P$87,MATCH(Results!$B12,Inputs!$B$82:$B$87,0),MATCH(Results!$C$2,Inputs!$D$5:$P$5,0))</f>
        <v>n/a</v>
      </c>
      <c r="H12" s="125" t="str">
        <f>INDEX(Inputs!$D$90:$P$95,MATCH(Results!$B12,Inputs!$B$90:$B$95,0),MATCH(Results!$C$2,Inputs!$D$5:$P$5,0))</f>
        <v>n/a</v>
      </c>
      <c r="J12" s="28" t="s">
        <v>89</v>
      </c>
      <c r="K12" s="125" t="str">
        <f>INDEX(Inputs!$D$27:$P$32,MATCH(Results!$B12,Inputs!$B$27:$B$32,0),MATCH(Results!$K$2,Inputs!$D$5:$P$5,0))</f>
        <v>n/a</v>
      </c>
      <c r="L12" s="125" t="str">
        <f>INDEX(Inputs!$D$11:$P$16,MATCH(Results!$B12,Inputs!$B$11:$B$16,0),MATCH(Results!$K$2,Inputs!$D$5:$P$5,0))</f>
        <v>n/a</v>
      </c>
      <c r="M12" s="125" t="str">
        <f>INDEX(Inputs!$D$19:$P$24,MATCH(Results!$B12,Inputs!$B$19:$B$24,0),MATCH(Results!$K$2,Inputs!$D$5:$P$5,0))</f>
        <v>n/a</v>
      </c>
      <c r="N12" s="162" t="str">
        <f>INDEX(Inputs!$D$74:$P$79,MATCH(Results!$J12,Inputs!$B$74:$B$79,0),MATCH(Results!$K$2,Inputs!$D$5:$P$5,0))</f>
        <v>n/a</v>
      </c>
      <c r="O12" s="161" t="str">
        <f>INDEX(Inputs!$D$82:$P$87,MATCH(Results!$J12,Inputs!$B$82:$B$87,0),MATCH(Results!$K$2,Inputs!$D$5:$P$5,0))</f>
        <v>n/a</v>
      </c>
      <c r="P12" s="125" t="str">
        <f>INDEX(Inputs!$D$90:$P$95,MATCH(Results!$J12,Inputs!$B$90:$B$95,0),MATCH(Results!$K$2,Inputs!$D$5:$P$5,0))</f>
        <v>n/a</v>
      </c>
    </row>
    <row r="14" spans="2:16" x14ac:dyDescent="0.3">
      <c r="B14" s="48" t="s">
        <v>158</v>
      </c>
      <c r="J14" s="48" t="s">
        <v>158</v>
      </c>
    </row>
    <row r="15" spans="2:16" ht="13" x14ac:dyDescent="0.3">
      <c r="C15" s="114" t="s">
        <v>8</v>
      </c>
      <c r="D15" s="114" t="s">
        <v>148</v>
      </c>
      <c r="E15" s="114" t="s">
        <v>0</v>
      </c>
      <c r="F15" s="114" t="s">
        <v>1</v>
      </c>
      <c r="G15" s="114" t="s">
        <v>2</v>
      </c>
      <c r="K15" s="114" t="s">
        <v>8</v>
      </c>
      <c r="L15" s="114" t="s">
        <v>148</v>
      </c>
      <c r="M15" s="114" t="s">
        <v>0</v>
      </c>
      <c r="N15" s="114" t="s">
        <v>1</v>
      </c>
      <c r="O15" s="114" t="s">
        <v>2</v>
      </c>
    </row>
    <row r="16" spans="2:16" x14ac:dyDescent="0.3">
      <c r="C16" s="114" t="s">
        <v>48</v>
      </c>
      <c r="D16" s="114" t="s">
        <v>51</v>
      </c>
      <c r="E16" s="114" t="s">
        <v>52</v>
      </c>
      <c r="F16" s="114" t="s">
        <v>52</v>
      </c>
      <c r="G16" s="114" t="s">
        <v>52</v>
      </c>
      <c r="K16" s="114" t="s">
        <v>48</v>
      </c>
      <c r="L16" s="114" t="s">
        <v>51</v>
      </c>
      <c r="M16" s="114" t="s">
        <v>52</v>
      </c>
      <c r="N16" s="114" t="s">
        <v>52</v>
      </c>
      <c r="O16" s="114" t="s">
        <v>52</v>
      </c>
    </row>
    <row r="17" spans="2:16" ht="13" x14ac:dyDescent="0.3">
      <c r="C17" s="114" t="s">
        <v>73</v>
      </c>
      <c r="D17" s="114" t="s">
        <v>73</v>
      </c>
      <c r="E17" s="116" t="s">
        <v>159</v>
      </c>
      <c r="F17" s="116" t="s">
        <v>160</v>
      </c>
      <c r="G17" s="114" t="s">
        <v>156</v>
      </c>
      <c r="K17" s="114" t="s">
        <v>73</v>
      </c>
      <c r="L17" s="114" t="s">
        <v>73</v>
      </c>
      <c r="M17" s="116" t="s">
        <v>159</v>
      </c>
      <c r="N17" s="116" t="s">
        <v>160</v>
      </c>
      <c r="O17" s="114" t="s">
        <v>156</v>
      </c>
    </row>
    <row r="18" spans="2:16" x14ac:dyDescent="0.3">
      <c r="B18" s="28" t="s">
        <v>4</v>
      </c>
      <c r="C18" s="126" cm="1">
        <f t="array" ref="C18">INDEX(Inputs!$D$35:$P$35,,MATCH(Results!$C$2,Inputs!$D$5:$P$5,0))</f>
        <v>15</v>
      </c>
      <c r="D18" s="151">
        <f>INDEX(Inputs!$D$46:$P$51,MATCH(Results!$B18,Inputs!$B$46:$B$51,0),MATCH(Results!$C$2,Inputs!$D$5:$P$5,0))</f>
        <v>0</v>
      </c>
      <c r="E18" s="127">
        <f>IFERROR(C18*D18,0)</f>
        <v>0</v>
      </c>
      <c r="F18" s="127">
        <f>IFERROR(C7*D18,0)</f>
        <v>0</v>
      </c>
      <c r="G18" s="127">
        <f>IFERROR(E18-F18,0)</f>
        <v>0</v>
      </c>
      <c r="J18" s="28" t="s">
        <v>4</v>
      </c>
      <c r="K18" s="126" cm="1">
        <f t="array" ref="K18">INDEX(Inputs!$D$35:$P$35,,MATCH(Results!$K$2,Inputs!$D$5:$P$5,0))</f>
        <v>15</v>
      </c>
      <c r="L18" s="151">
        <f>INDEX(Inputs!$D$46:$P$51,MATCH(Results!$B18,Inputs!$B$46:$B$51,0),MATCH(Results!$K$2,Inputs!$D$5:$P$5,0))</f>
        <v>100</v>
      </c>
      <c r="M18" s="127">
        <f>IFERROR(K18*L18,0)</f>
        <v>1500</v>
      </c>
      <c r="N18" s="127">
        <f>IFERROR(K7*L18,0)</f>
        <v>0</v>
      </c>
      <c r="O18" s="127">
        <f>IFERROR(M18-N18,0)</f>
        <v>1500</v>
      </c>
    </row>
    <row r="19" spans="2:16" x14ac:dyDescent="0.3">
      <c r="B19" s="28" t="s">
        <v>5</v>
      </c>
      <c r="C19" s="126" cm="1">
        <f t="array" ref="C19">INDEX(Inputs!$D$35:$P$35,,MATCH(Results!$C$2,Inputs!$D$5:$P$5,0))</f>
        <v>15</v>
      </c>
      <c r="D19" s="151">
        <f>INDEX(Inputs!$D$46:$P$51,MATCH(Results!$B19,Inputs!$B$46:$B$51,0),MATCH(Results!$C$2,Inputs!$D$5:$P$5,0))</f>
        <v>73</v>
      </c>
      <c r="E19" s="127">
        <f t="shared" ref="E19:E23" si="0">IFERROR(C19*D19,0)</f>
        <v>1095</v>
      </c>
      <c r="F19" s="127">
        <f t="shared" ref="F19:F23" si="1">IFERROR(C8*D19,0)</f>
        <v>0</v>
      </c>
      <c r="G19" s="127">
        <f t="shared" ref="G19:G23" si="2">IFERROR(E19-F19,0)</f>
        <v>1095</v>
      </c>
      <c r="J19" s="28" t="s">
        <v>5</v>
      </c>
      <c r="K19" s="126" cm="1">
        <f t="array" ref="K19">INDEX(Inputs!$D$35:$P$35,,MATCH(Results!$K$2,Inputs!$D$5:$P$5,0))</f>
        <v>15</v>
      </c>
      <c r="L19" s="151">
        <f>INDEX(Inputs!$D$46:$P$51,MATCH(Results!$B19,Inputs!$B$46:$B$51,0),MATCH(Results!$K$2,Inputs!$D$5:$P$5,0))</f>
        <v>28</v>
      </c>
      <c r="M19" s="127">
        <f t="shared" ref="M19:M23" si="3">IFERROR(K19*L19,0)</f>
        <v>420</v>
      </c>
      <c r="N19" s="127">
        <f t="shared" ref="N19:N23" si="4">IFERROR(K8*L19,0)</f>
        <v>0</v>
      </c>
      <c r="O19" s="127">
        <f t="shared" ref="O19:O23" si="5">IFERROR(M19-N19,0)</f>
        <v>420</v>
      </c>
    </row>
    <row r="20" spans="2:16" x14ac:dyDescent="0.3">
      <c r="B20" s="28" t="s">
        <v>6</v>
      </c>
      <c r="C20" s="126" cm="1">
        <f t="array" ref="C20">INDEX(Inputs!$D$35:$P$35,,MATCH(Results!$C$2,Inputs!$D$5:$P$5,0))</f>
        <v>15</v>
      </c>
      <c r="D20" s="151">
        <f>INDEX(Inputs!$D$46:$P$51,MATCH(Results!$B20,Inputs!$B$46:$B$51,0),MATCH(Results!$C$2,Inputs!$D$5:$P$5,0))</f>
        <v>100</v>
      </c>
      <c r="E20" s="127">
        <f t="shared" si="0"/>
        <v>1500</v>
      </c>
      <c r="F20" s="127">
        <f t="shared" si="1"/>
        <v>0</v>
      </c>
      <c r="G20" s="127">
        <f t="shared" si="2"/>
        <v>1500</v>
      </c>
      <c r="J20" s="28" t="s">
        <v>6</v>
      </c>
      <c r="K20" s="126" cm="1">
        <f t="array" ref="K20">INDEX(Inputs!$D$35:$P$35,,MATCH(Results!$K$2,Inputs!$D$5:$P$5,0))</f>
        <v>15</v>
      </c>
      <c r="L20" s="151">
        <f>INDEX(Inputs!$D$46:$P$51,MATCH(Results!$B20,Inputs!$B$46:$B$51,0),MATCH(Results!$K$2,Inputs!$D$5:$P$5,0))</f>
        <v>0</v>
      </c>
      <c r="M20" s="127">
        <f t="shared" si="3"/>
        <v>0</v>
      </c>
      <c r="N20" s="127">
        <f t="shared" si="4"/>
        <v>0</v>
      </c>
      <c r="O20" s="127">
        <f t="shared" si="5"/>
        <v>0</v>
      </c>
    </row>
    <row r="21" spans="2:16" x14ac:dyDescent="0.3">
      <c r="B21" s="28" t="s">
        <v>60</v>
      </c>
      <c r="C21" s="126" cm="1">
        <f t="array" ref="C21">INDEX(Inputs!$D$35:$P$35,,MATCH(Results!$C$2,Inputs!$D$5:$P$5,0))</f>
        <v>15</v>
      </c>
      <c r="D21" s="151">
        <f>INDEX(Inputs!$D$46:$P$51,MATCH(Results!$B21,Inputs!$B$46:$B$51,0),MATCH(Results!$C$2,Inputs!$D$5:$P$5,0))</f>
        <v>327</v>
      </c>
      <c r="E21" s="127">
        <f t="shared" si="0"/>
        <v>4905</v>
      </c>
      <c r="F21" s="127">
        <f t="shared" si="1"/>
        <v>4905</v>
      </c>
      <c r="G21" s="127">
        <f t="shared" si="2"/>
        <v>0</v>
      </c>
      <c r="J21" s="28" t="s">
        <v>60</v>
      </c>
      <c r="K21" s="126" cm="1">
        <f t="array" ref="K21">INDEX(Inputs!$D$35:$P$35,,MATCH(Results!$K$2,Inputs!$D$5:$P$5,0))</f>
        <v>15</v>
      </c>
      <c r="L21" s="151">
        <f>INDEX(Inputs!$D$46:$P$51,MATCH(Results!$B21,Inputs!$B$46:$B$51,0),MATCH(Results!$K$2,Inputs!$D$5:$P$5,0))</f>
        <v>372</v>
      </c>
      <c r="M21" s="127">
        <f t="shared" si="3"/>
        <v>5580</v>
      </c>
      <c r="N21" s="127">
        <f t="shared" si="4"/>
        <v>5580</v>
      </c>
      <c r="O21" s="127">
        <f t="shared" si="5"/>
        <v>0</v>
      </c>
    </row>
    <row r="22" spans="2:16" x14ac:dyDescent="0.3">
      <c r="B22" s="28" t="s">
        <v>88</v>
      </c>
      <c r="C22" s="126" cm="1">
        <f t="array" ref="C22">INDEX(Inputs!$D$35:$P$35,,MATCH(Results!$C$2,Inputs!$D$5:$P$5,0))</f>
        <v>15</v>
      </c>
      <c r="D22" s="152" t="str">
        <f>INDEX(Inputs!$D$46:$P$51,MATCH(Results!$B22,Inputs!$B$46:$B$51,0),MATCH(Results!$C$2,Inputs!$D$5:$P$5,0))</f>
        <v>n/a</v>
      </c>
      <c r="E22" s="127">
        <f t="shared" si="0"/>
        <v>0</v>
      </c>
      <c r="F22" s="127">
        <f t="shared" si="1"/>
        <v>0</v>
      </c>
      <c r="G22" s="127">
        <f t="shared" si="2"/>
        <v>0</v>
      </c>
      <c r="J22" s="28" t="s">
        <v>88</v>
      </c>
      <c r="K22" s="126" cm="1">
        <f t="array" ref="K22">INDEX(Inputs!$D$35:$P$35,,MATCH(Results!$K$2,Inputs!$D$5:$P$5,0))</f>
        <v>15</v>
      </c>
      <c r="L22" s="152" t="str">
        <f>INDEX(Inputs!$D$46:$P$51,MATCH(Results!$B22,Inputs!$B$46:$B$51,0),MATCH(Results!$K$2,Inputs!$D$5:$P$5,0))</f>
        <v>n/a</v>
      </c>
      <c r="M22" s="127">
        <f t="shared" si="3"/>
        <v>0</v>
      </c>
      <c r="N22" s="127">
        <f t="shared" si="4"/>
        <v>0</v>
      </c>
      <c r="O22" s="127">
        <f t="shared" si="5"/>
        <v>0</v>
      </c>
    </row>
    <row r="23" spans="2:16" x14ac:dyDescent="0.3">
      <c r="B23" s="117" t="s">
        <v>89</v>
      </c>
      <c r="C23" s="126" cm="1">
        <f t="array" ref="C23">INDEX(Inputs!$D$35:$P$35,,MATCH(Results!$C$2,Inputs!$D$5:$P$5,0))</f>
        <v>15</v>
      </c>
      <c r="D23" s="152" t="str">
        <f>INDEX(Inputs!$D$46:$P$51,MATCH(Results!$B23,Inputs!$B$46:$B$51,0),MATCH(Results!$C$2,Inputs!$D$5:$P$5,0))</f>
        <v>n/a</v>
      </c>
      <c r="E23" s="127">
        <f t="shared" si="0"/>
        <v>0</v>
      </c>
      <c r="F23" s="127">
        <f t="shared" si="1"/>
        <v>0</v>
      </c>
      <c r="G23" s="127">
        <f t="shared" si="2"/>
        <v>0</v>
      </c>
      <c r="J23" s="117" t="s">
        <v>89</v>
      </c>
      <c r="K23" s="126" cm="1">
        <f t="array" ref="K23">INDEX(Inputs!$D$35:$P$35,,MATCH(Results!$K$2,Inputs!$D$5:$P$5,0))</f>
        <v>15</v>
      </c>
      <c r="L23" s="152" t="str">
        <f>INDEX(Inputs!$D$46:$P$51,MATCH(Results!$B23,Inputs!$B$46:$B$51,0),MATCH(Results!$K$2,Inputs!$D$5:$P$5,0))</f>
        <v>n/a</v>
      </c>
      <c r="M23" s="127">
        <f t="shared" si="3"/>
        <v>0</v>
      </c>
      <c r="N23" s="127">
        <f t="shared" si="4"/>
        <v>0</v>
      </c>
      <c r="O23" s="127">
        <f t="shared" si="5"/>
        <v>0</v>
      </c>
    </row>
    <row r="24" spans="2:16" x14ac:dyDescent="0.3">
      <c r="B24" s="47" t="s">
        <v>7</v>
      </c>
      <c r="C24" s="128"/>
      <c r="D24" s="156">
        <f>SUM(D18:D23)</f>
        <v>500</v>
      </c>
      <c r="E24" s="129">
        <f>SUM(E18:E23)</f>
        <v>7500</v>
      </c>
      <c r="F24" s="129">
        <f t="shared" ref="F24" si="6">SUM(F18:F23)</f>
        <v>4905</v>
      </c>
      <c r="G24" s="129">
        <f>SUM(G18:G23)</f>
        <v>2595</v>
      </c>
      <c r="J24" s="47" t="s">
        <v>7</v>
      </c>
      <c r="K24" s="128"/>
      <c r="L24" s="156">
        <f>SUM(L18:L23)</f>
        <v>500</v>
      </c>
      <c r="M24" s="129">
        <f>SUM(M18:M23)</f>
        <v>7500</v>
      </c>
      <c r="N24" s="129">
        <f t="shared" ref="N24" si="7">SUM(N18:N23)</f>
        <v>5580</v>
      </c>
      <c r="O24" s="129">
        <f t="shared" ref="O24" si="8">SUM(O18:O23)</f>
        <v>1920</v>
      </c>
    </row>
    <row r="25" spans="2:16" x14ac:dyDescent="0.3">
      <c r="F25" s="46" t="s">
        <v>197</v>
      </c>
      <c r="N25" s="46" t="s">
        <v>197</v>
      </c>
    </row>
    <row r="26" spans="2:16" x14ac:dyDescent="0.3">
      <c r="B26" s="48" t="s">
        <v>157</v>
      </c>
      <c r="J26" s="48" t="s">
        <v>157</v>
      </c>
    </row>
    <row r="27" spans="2:16" ht="13" x14ac:dyDescent="0.3">
      <c r="C27" s="114" t="s">
        <v>9</v>
      </c>
      <c r="D27" s="114" t="s">
        <v>150</v>
      </c>
      <c r="E27" s="114" t="s">
        <v>149</v>
      </c>
      <c r="F27" s="114" t="s">
        <v>0</v>
      </c>
      <c r="G27" s="114" t="s">
        <v>1</v>
      </c>
      <c r="H27" s="114" t="s">
        <v>2</v>
      </c>
      <c r="K27" s="114" t="s">
        <v>9</v>
      </c>
      <c r="L27" s="114" t="s">
        <v>150</v>
      </c>
      <c r="M27" s="114" t="s">
        <v>149</v>
      </c>
      <c r="N27" s="114" t="s">
        <v>0</v>
      </c>
      <c r="O27" s="114" t="s">
        <v>1</v>
      </c>
      <c r="P27" s="114" t="s">
        <v>2</v>
      </c>
    </row>
    <row r="28" spans="2:16" x14ac:dyDescent="0.3">
      <c r="C28" s="114" t="s">
        <v>48</v>
      </c>
      <c r="D28" s="114" t="s">
        <v>51</v>
      </c>
      <c r="E28" s="114" t="s">
        <v>51</v>
      </c>
      <c r="F28" s="114" t="s">
        <v>52</v>
      </c>
      <c r="G28" s="114" t="s">
        <v>52</v>
      </c>
      <c r="H28" s="114" t="s">
        <v>52</v>
      </c>
      <c r="K28" s="114" t="s">
        <v>48</v>
      </c>
      <c r="L28" s="114" t="s">
        <v>51</v>
      </c>
      <c r="M28" s="114" t="s">
        <v>51</v>
      </c>
      <c r="N28" s="114" t="s">
        <v>52</v>
      </c>
      <c r="O28" s="114" t="s">
        <v>52</v>
      </c>
      <c r="P28" s="114" t="s">
        <v>52</v>
      </c>
    </row>
    <row r="29" spans="2:16" ht="13" x14ac:dyDescent="0.3">
      <c r="C29" s="114" t="s">
        <v>73</v>
      </c>
      <c r="D29" s="114" t="s">
        <v>73</v>
      </c>
      <c r="E29" s="116" t="s">
        <v>161</v>
      </c>
      <c r="F29" s="116" t="s">
        <v>162</v>
      </c>
      <c r="G29" s="116" t="s">
        <v>163</v>
      </c>
      <c r="H29" s="114" t="s">
        <v>156</v>
      </c>
      <c r="K29" s="114" t="s">
        <v>73</v>
      </c>
      <c r="L29" s="114" t="s">
        <v>73</v>
      </c>
      <c r="M29" s="116" t="s">
        <v>161</v>
      </c>
      <c r="N29" s="116" t="s">
        <v>162</v>
      </c>
      <c r="O29" s="116" t="s">
        <v>163</v>
      </c>
      <c r="P29" s="114" t="s">
        <v>156</v>
      </c>
    </row>
    <row r="30" spans="2:16" x14ac:dyDescent="0.3">
      <c r="B30" s="28" t="s">
        <v>4</v>
      </c>
      <c r="C30" s="153">
        <f>INDEX(Inputs!$D$38:$P$43,MATCH(Results!$B30,Inputs!$B$38:$B$43,0),MATCH(Results!$C$2,Inputs!$D$5:$P$5,0))</f>
        <v>3.75</v>
      </c>
      <c r="D30" s="151">
        <f>INDEX(Inputs!$D$54:$P$59,MATCH(Results!$B30,Inputs!$B$54:$B$59,0),MATCH(Results!$C$2,Inputs!$D$5:$P$5,0))</f>
        <v>0</v>
      </c>
      <c r="E30" s="127">
        <f>IFERROR(D30-D18,0)</f>
        <v>0</v>
      </c>
      <c r="F30" s="127">
        <f>IFERROR(C30*E30,0)</f>
        <v>0</v>
      </c>
      <c r="G30" s="127">
        <f>IFERROR(C7*E30,0)</f>
        <v>0</v>
      </c>
      <c r="H30" s="127">
        <f>IFERROR(F30-G30,0)</f>
        <v>0</v>
      </c>
      <c r="J30" s="28" t="s">
        <v>4</v>
      </c>
      <c r="K30" s="153">
        <f>INDEX(Inputs!$D$38:$P$43,MATCH(Results!$B30,Inputs!$B$38:$B$43,0),MATCH(Results!$K$2,Inputs!$D$5:$P$5,0))</f>
        <v>0</v>
      </c>
      <c r="L30" s="151">
        <f>INDEX(Inputs!$D$54:$P$59,MATCH(Results!$B30,Inputs!$B$54:$B$59,0),MATCH(Results!$K$2,Inputs!$D$5:$P$5,0))</f>
        <v>97.3</v>
      </c>
      <c r="M30" s="127">
        <f>IFERROR(L30-L18,0)</f>
        <v>-2.7000000000000028</v>
      </c>
      <c r="N30" s="127">
        <f>IFERROR(K30*M30,0)</f>
        <v>0</v>
      </c>
      <c r="O30" s="127">
        <f>IFERROR(K7*M30,0)</f>
        <v>0</v>
      </c>
      <c r="P30" s="127">
        <f>IFERROR(N30-O30,0)</f>
        <v>0</v>
      </c>
    </row>
    <row r="31" spans="2:16" x14ac:dyDescent="0.3">
      <c r="B31" s="28" t="s">
        <v>5</v>
      </c>
      <c r="C31" s="153">
        <f>INDEX(Inputs!$D$38:$P$43,MATCH(Results!$B31,Inputs!$B$38:$B$43,0),MATCH(Results!$C$2,Inputs!$D$5:$P$5,0))</f>
        <v>0</v>
      </c>
      <c r="D31" s="151">
        <f>INDEX(Inputs!$D$54:$P$59,MATCH(Results!$B31,Inputs!$B$54:$B$59,0),MATCH(Results!$C$2,Inputs!$D$5:$P$5,0))</f>
        <v>73</v>
      </c>
      <c r="E31" s="127">
        <f t="shared" ref="E31:E35" si="9">IFERROR(D31-D19,0)</f>
        <v>0</v>
      </c>
      <c r="F31" s="127">
        <f t="shared" ref="F31:F35" si="10">IFERROR(C31*E31,0)</f>
        <v>0</v>
      </c>
      <c r="G31" s="127">
        <f t="shared" ref="G31:G35" si="11">IFERROR(C8*E31,0)</f>
        <v>0</v>
      </c>
      <c r="H31" s="127">
        <f t="shared" ref="H31:H35" si="12">IFERROR(F31-G31,0)</f>
        <v>0</v>
      </c>
      <c r="J31" s="28" t="s">
        <v>5</v>
      </c>
      <c r="K31" s="153">
        <f>INDEX(Inputs!$D$38:$P$43,MATCH(Results!$B31,Inputs!$B$38:$B$43,0),MATCH(Results!$K$2,Inputs!$D$5:$P$5,0))</f>
        <v>-5</v>
      </c>
      <c r="L31" s="151">
        <f>INDEX(Inputs!$D$54:$P$59,MATCH(Results!$B31,Inputs!$B$54:$B$59,0),MATCH(Results!$K$2,Inputs!$D$5:$P$5,0))</f>
        <v>0</v>
      </c>
      <c r="M31" s="127">
        <f t="shared" ref="M31:M35" si="13">IFERROR(L31-L19,0)</f>
        <v>-28</v>
      </c>
      <c r="N31" s="127">
        <f t="shared" ref="N31:N35" si="14">IFERROR(K31*M31,0)</f>
        <v>140</v>
      </c>
      <c r="O31" s="127">
        <f t="shared" ref="O31:O35" si="15">IFERROR(K8*M31,0)</f>
        <v>0</v>
      </c>
      <c r="P31" s="127">
        <f t="shared" ref="P31:P35" si="16">IFERROR(N31-O31,0)</f>
        <v>140</v>
      </c>
    </row>
    <row r="32" spans="2:16" x14ac:dyDescent="0.3">
      <c r="B32" s="28" t="s">
        <v>6</v>
      </c>
      <c r="C32" s="153">
        <f>INDEX(Inputs!$D$38:$P$43,MATCH(Results!$B32,Inputs!$B$38:$B$43,0),MATCH(Results!$C$2,Inputs!$D$5:$P$5,0))</f>
        <v>10.5</v>
      </c>
      <c r="D32" s="151">
        <f>INDEX(Inputs!$D$54:$P$59,MATCH(Results!$B32,Inputs!$B$54:$B$59,0),MATCH(Results!$C$2,Inputs!$D$5:$P$5,0))</f>
        <v>100</v>
      </c>
      <c r="E32" s="127">
        <f t="shared" si="9"/>
        <v>0</v>
      </c>
      <c r="F32" s="127">
        <f t="shared" si="10"/>
        <v>0</v>
      </c>
      <c r="G32" s="127">
        <f t="shared" si="11"/>
        <v>0</v>
      </c>
      <c r="H32" s="127">
        <f t="shared" si="12"/>
        <v>0</v>
      </c>
      <c r="J32" s="28" t="s">
        <v>6</v>
      </c>
      <c r="K32" s="153">
        <f>INDEX(Inputs!$D$38:$P$43,MATCH(Results!$B32,Inputs!$B$38:$B$43,0),MATCH(Results!$K$2,Inputs!$D$5:$P$5,0))</f>
        <v>9</v>
      </c>
      <c r="L32" s="151">
        <f>INDEX(Inputs!$D$54:$P$59,MATCH(Results!$B32,Inputs!$B$54:$B$59,0),MATCH(Results!$K$2,Inputs!$D$5:$P$5,0))</f>
        <v>100</v>
      </c>
      <c r="M32" s="127">
        <f t="shared" si="13"/>
        <v>100</v>
      </c>
      <c r="N32" s="127">
        <f t="shared" si="14"/>
        <v>900</v>
      </c>
      <c r="O32" s="127">
        <f t="shared" si="15"/>
        <v>0</v>
      </c>
      <c r="P32" s="127">
        <f t="shared" si="16"/>
        <v>900</v>
      </c>
    </row>
    <row r="33" spans="2:16" x14ac:dyDescent="0.3">
      <c r="B33" s="28" t="s">
        <v>60</v>
      </c>
      <c r="C33" s="153">
        <f>INDEX(Inputs!$D$38:$P$43,MATCH(Results!$B33,Inputs!$B$38:$B$43,0),MATCH(Results!$C$2,Inputs!$D$5:$P$5,0))</f>
        <v>15</v>
      </c>
      <c r="D33" s="151">
        <f>INDEX(Inputs!$D$54:$P$59,MATCH(Results!$B33,Inputs!$B$54:$B$59,0),MATCH(Results!$C$2,Inputs!$D$5:$P$5,0))</f>
        <v>327</v>
      </c>
      <c r="E33" s="127">
        <f t="shared" si="9"/>
        <v>0</v>
      </c>
      <c r="F33" s="127">
        <f t="shared" si="10"/>
        <v>0</v>
      </c>
      <c r="G33" s="127">
        <f t="shared" si="11"/>
        <v>0</v>
      </c>
      <c r="H33" s="127">
        <f t="shared" si="12"/>
        <v>0</v>
      </c>
      <c r="J33" s="28" t="s">
        <v>60</v>
      </c>
      <c r="K33" s="153">
        <f>INDEX(Inputs!$D$38:$P$43,MATCH(Results!$B33,Inputs!$B$38:$B$43,0),MATCH(Results!$K$2,Inputs!$D$5:$P$5,0))</f>
        <v>15</v>
      </c>
      <c r="L33" s="151">
        <f>INDEX(Inputs!$D$54:$P$59,MATCH(Results!$B33,Inputs!$B$54:$B$59,0),MATCH(Results!$K$2,Inputs!$D$5:$P$5,0))</f>
        <v>302.7</v>
      </c>
      <c r="M33" s="127">
        <f t="shared" si="13"/>
        <v>-69.300000000000011</v>
      </c>
      <c r="N33" s="127">
        <f t="shared" si="14"/>
        <v>-1039.5000000000002</v>
      </c>
      <c r="O33" s="127">
        <f t="shared" si="15"/>
        <v>-1039.5000000000002</v>
      </c>
      <c r="P33" s="127">
        <f t="shared" si="16"/>
        <v>0</v>
      </c>
    </row>
    <row r="34" spans="2:16" x14ac:dyDescent="0.3">
      <c r="B34" s="28" t="s">
        <v>88</v>
      </c>
      <c r="C34" s="154" t="str">
        <f>INDEX(Inputs!$D$38:$P$43,MATCH(Results!$B34,Inputs!$B$38:$B$43,0),MATCH(Results!$C$2,Inputs!$D$5:$P$5,0))</f>
        <v>n/a</v>
      </c>
      <c r="D34" s="152" t="str">
        <f>INDEX(Inputs!$D$54:$P$59,MATCH(Results!$B34,Inputs!$B$54:$B$59,0),MATCH(Results!$C$2,Inputs!$D$5:$P$5,0))</f>
        <v>n/a</v>
      </c>
      <c r="E34" s="127">
        <f t="shared" si="9"/>
        <v>0</v>
      </c>
      <c r="F34" s="127">
        <f t="shared" si="10"/>
        <v>0</v>
      </c>
      <c r="G34" s="127">
        <f t="shared" si="11"/>
        <v>0</v>
      </c>
      <c r="H34" s="127">
        <f t="shared" si="12"/>
        <v>0</v>
      </c>
      <c r="J34" s="28" t="s">
        <v>88</v>
      </c>
      <c r="K34" s="154" t="str">
        <f>INDEX(Inputs!$D$38:$P$43,MATCH(Results!$B34,Inputs!$B$38:$B$43,0),MATCH(Results!$K$2,Inputs!$D$5:$P$5,0))</f>
        <v>n/a</v>
      </c>
      <c r="L34" s="152" t="str">
        <f>INDEX(Inputs!$D$54:$P$59,MATCH(Results!$B34,Inputs!$B$54:$B$59,0),MATCH(Results!$K$2,Inputs!$D$5:$P$5,0))</f>
        <v>n/a</v>
      </c>
      <c r="M34" s="127">
        <f t="shared" si="13"/>
        <v>0</v>
      </c>
      <c r="N34" s="127">
        <f t="shared" si="14"/>
        <v>0</v>
      </c>
      <c r="O34" s="127">
        <f t="shared" si="15"/>
        <v>0</v>
      </c>
      <c r="P34" s="127">
        <f t="shared" si="16"/>
        <v>0</v>
      </c>
    </row>
    <row r="35" spans="2:16" x14ac:dyDescent="0.3">
      <c r="B35" s="117" t="s">
        <v>89</v>
      </c>
      <c r="C35" s="154" t="str">
        <f>INDEX(Inputs!$D$38:$P$43,MATCH(Results!$B35,Inputs!$B$38:$B$43,0),MATCH(Results!$C$2,Inputs!$D$5:$P$5,0))</f>
        <v>n/a</v>
      </c>
      <c r="D35" s="152" t="str">
        <f>INDEX(Inputs!$D$54:$P$59,MATCH(Results!$B35,Inputs!$B$54:$B$59,0),MATCH(Results!$C$2,Inputs!$D$5:$P$5,0))</f>
        <v>n/a</v>
      </c>
      <c r="E35" s="127">
        <f t="shared" si="9"/>
        <v>0</v>
      </c>
      <c r="F35" s="127">
        <f t="shared" si="10"/>
        <v>0</v>
      </c>
      <c r="G35" s="127">
        <f t="shared" si="11"/>
        <v>0</v>
      </c>
      <c r="H35" s="127">
        <f t="shared" si="12"/>
        <v>0</v>
      </c>
      <c r="J35" s="117" t="s">
        <v>89</v>
      </c>
      <c r="K35" s="154" t="str">
        <f>INDEX(Inputs!$D$38:$P$43,MATCH(Results!$B35,Inputs!$B$38:$B$43,0),MATCH(Results!$K$2,Inputs!$D$5:$P$5,0))</f>
        <v>n/a</v>
      </c>
      <c r="L35" s="152" t="str">
        <f>INDEX(Inputs!$D$54:$P$59,MATCH(Results!$B35,Inputs!$B$54:$B$59,0),MATCH(Results!$K$2,Inputs!$D$5:$P$5,0))</f>
        <v>n/a</v>
      </c>
      <c r="M35" s="127">
        <f t="shared" si="13"/>
        <v>0</v>
      </c>
      <c r="N35" s="127">
        <f t="shared" si="14"/>
        <v>0</v>
      </c>
      <c r="O35" s="127">
        <f t="shared" si="15"/>
        <v>0</v>
      </c>
      <c r="P35" s="127">
        <f t="shared" si="16"/>
        <v>0</v>
      </c>
    </row>
    <row r="36" spans="2:16" x14ac:dyDescent="0.3">
      <c r="B36" s="47" t="s">
        <v>7</v>
      </c>
      <c r="C36" s="155"/>
      <c r="D36" s="156">
        <f>SUM(D30:D35)</f>
        <v>500</v>
      </c>
      <c r="E36" s="129">
        <f>SUM(E30:E35)</f>
        <v>0</v>
      </c>
      <c r="F36" s="129">
        <f>SUM(F30:F35)</f>
        <v>0</v>
      </c>
      <c r="G36" s="129">
        <f>SUM(G30:G35)</f>
        <v>0</v>
      </c>
      <c r="H36" s="129">
        <f>SUM(H30:H35)</f>
        <v>0</v>
      </c>
      <c r="J36" s="47" t="s">
        <v>7</v>
      </c>
      <c r="K36" s="155"/>
      <c r="L36" s="156">
        <f>SUM(L30:L35)</f>
        <v>500</v>
      </c>
      <c r="M36" s="129">
        <f>SUM(M30:M35)</f>
        <v>-1.4210854715202004E-14</v>
      </c>
      <c r="N36" s="129">
        <f>SUM(N30:N35)</f>
        <v>0.49999999999977263</v>
      </c>
      <c r="O36" s="129">
        <f>SUM(O30:O35)</f>
        <v>-1039.5000000000002</v>
      </c>
      <c r="P36" s="129">
        <f>SUM(P30:P35)</f>
        <v>1040</v>
      </c>
    </row>
    <row r="37" spans="2:16" x14ac:dyDescent="0.3">
      <c r="G37" s="46" t="s">
        <v>197</v>
      </c>
    </row>
    <row r="38" spans="2:16" x14ac:dyDescent="0.3">
      <c r="B38" s="48" t="s">
        <v>164</v>
      </c>
      <c r="J38" s="48" t="s">
        <v>164</v>
      </c>
    </row>
    <row r="39" spans="2:16" x14ac:dyDescent="0.3">
      <c r="C39" s="114" t="s">
        <v>155</v>
      </c>
      <c r="D39" s="114" t="s">
        <v>152</v>
      </c>
      <c r="E39" s="114" t="s">
        <v>153</v>
      </c>
      <c r="F39" s="114" t="s">
        <v>154</v>
      </c>
      <c r="K39" s="114" t="s">
        <v>155</v>
      </c>
      <c r="L39" s="114" t="s">
        <v>152</v>
      </c>
      <c r="M39" s="114" t="s">
        <v>153</v>
      </c>
      <c r="N39" s="114" t="s">
        <v>154</v>
      </c>
    </row>
    <row r="40" spans="2:16" x14ac:dyDescent="0.3">
      <c r="C40" s="114" t="s">
        <v>52</v>
      </c>
      <c r="D40" s="114" t="s">
        <v>52</v>
      </c>
      <c r="E40" s="114" t="s">
        <v>52</v>
      </c>
      <c r="F40" s="114" t="s">
        <v>52</v>
      </c>
      <c r="K40" s="114" t="s">
        <v>52</v>
      </c>
      <c r="L40" s="114" t="s">
        <v>52</v>
      </c>
      <c r="M40" s="114" t="s">
        <v>52</v>
      </c>
      <c r="N40" s="114" t="s">
        <v>52</v>
      </c>
    </row>
    <row r="41" spans="2:16" x14ac:dyDescent="0.3">
      <c r="B41" s="28" t="s">
        <v>4</v>
      </c>
      <c r="C41" s="130">
        <f>SUM(F18,G30)</f>
        <v>0</v>
      </c>
      <c r="D41" s="130">
        <f>G18</f>
        <v>0</v>
      </c>
      <c r="E41" s="130">
        <f>H30</f>
        <v>0</v>
      </c>
      <c r="F41" s="130">
        <f>SUM(D41,E41)</f>
        <v>0</v>
      </c>
      <c r="J41" s="28" t="s">
        <v>4</v>
      </c>
      <c r="K41" s="130">
        <f>SUM(N18,O30)</f>
        <v>0</v>
      </c>
      <c r="L41" s="130">
        <f>O18</f>
        <v>1500</v>
      </c>
      <c r="M41" s="130">
        <f>P30</f>
        <v>0</v>
      </c>
      <c r="N41" s="130">
        <f>SUM(L41,M41)</f>
        <v>1500</v>
      </c>
    </row>
    <row r="42" spans="2:16" x14ac:dyDescent="0.3">
      <c r="B42" s="28" t="s">
        <v>5</v>
      </c>
      <c r="C42" s="130">
        <f t="shared" ref="C42:C46" si="17">SUM(F19,G31)</f>
        <v>0</v>
      </c>
      <c r="D42" s="130">
        <f t="shared" ref="D42:D46" si="18">G19</f>
        <v>1095</v>
      </c>
      <c r="E42" s="130">
        <f t="shared" ref="E42:E46" si="19">H31</f>
        <v>0</v>
      </c>
      <c r="F42" s="130">
        <f t="shared" ref="F42:F46" si="20">SUM(D42,E42)</f>
        <v>1095</v>
      </c>
      <c r="J42" s="28" t="s">
        <v>5</v>
      </c>
      <c r="K42" s="130">
        <f t="shared" ref="K42:K46" si="21">SUM(N19,O31)</f>
        <v>0</v>
      </c>
      <c r="L42" s="130">
        <f t="shared" ref="L42:L46" si="22">O19</f>
        <v>420</v>
      </c>
      <c r="M42" s="130">
        <f t="shared" ref="M42:M46" si="23">P31</f>
        <v>140</v>
      </c>
      <c r="N42" s="130">
        <f t="shared" ref="N42:N46" si="24">SUM(L42,M42)</f>
        <v>560</v>
      </c>
    </row>
    <row r="43" spans="2:16" x14ac:dyDescent="0.3">
      <c r="B43" s="28" t="s">
        <v>6</v>
      </c>
      <c r="C43" s="130">
        <f t="shared" si="17"/>
        <v>0</v>
      </c>
      <c r="D43" s="130">
        <f t="shared" si="18"/>
        <v>1500</v>
      </c>
      <c r="E43" s="130">
        <f t="shared" si="19"/>
        <v>0</v>
      </c>
      <c r="F43" s="130">
        <f t="shared" si="20"/>
        <v>1500</v>
      </c>
      <c r="J43" s="28" t="s">
        <v>6</v>
      </c>
      <c r="K43" s="130">
        <f t="shared" si="21"/>
        <v>0</v>
      </c>
      <c r="L43" s="130">
        <f t="shared" si="22"/>
        <v>0</v>
      </c>
      <c r="M43" s="130">
        <f t="shared" si="23"/>
        <v>900</v>
      </c>
      <c r="N43" s="130">
        <f t="shared" si="24"/>
        <v>900</v>
      </c>
    </row>
    <row r="44" spans="2:16" x14ac:dyDescent="0.3">
      <c r="B44" s="28" t="s">
        <v>60</v>
      </c>
      <c r="C44" s="130">
        <f t="shared" si="17"/>
        <v>4905</v>
      </c>
      <c r="D44" s="130">
        <f t="shared" si="18"/>
        <v>0</v>
      </c>
      <c r="E44" s="130">
        <f t="shared" si="19"/>
        <v>0</v>
      </c>
      <c r="F44" s="130">
        <f t="shared" si="20"/>
        <v>0</v>
      </c>
      <c r="J44" s="28" t="s">
        <v>60</v>
      </c>
      <c r="K44" s="130">
        <f t="shared" si="21"/>
        <v>4540.5</v>
      </c>
      <c r="L44" s="130">
        <f t="shared" si="22"/>
        <v>0</v>
      </c>
      <c r="M44" s="130">
        <f t="shared" si="23"/>
        <v>0</v>
      </c>
      <c r="N44" s="130">
        <f t="shared" si="24"/>
        <v>0</v>
      </c>
    </row>
    <row r="45" spans="2:16" x14ac:dyDescent="0.3">
      <c r="B45" s="28" t="s">
        <v>88</v>
      </c>
      <c r="C45" s="130">
        <f t="shared" si="17"/>
        <v>0</v>
      </c>
      <c r="D45" s="131">
        <f t="shared" si="18"/>
        <v>0</v>
      </c>
      <c r="E45" s="131">
        <f t="shared" si="19"/>
        <v>0</v>
      </c>
      <c r="F45" s="131">
        <f t="shared" si="20"/>
        <v>0</v>
      </c>
      <c r="J45" s="28" t="s">
        <v>88</v>
      </c>
      <c r="K45" s="130">
        <f t="shared" si="21"/>
        <v>0</v>
      </c>
      <c r="L45" s="131">
        <f t="shared" si="22"/>
        <v>0</v>
      </c>
      <c r="M45" s="131">
        <f t="shared" si="23"/>
        <v>0</v>
      </c>
      <c r="N45" s="130">
        <f t="shared" si="24"/>
        <v>0</v>
      </c>
    </row>
    <row r="46" spans="2:16" x14ac:dyDescent="0.3">
      <c r="B46" s="117" t="s">
        <v>89</v>
      </c>
      <c r="C46" s="130">
        <f t="shared" si="17"/>
        <v>0</v>
      </c>
      <c r="D46" s="131">
        <f t="shared" si="18"/>
        <v>0</v>
      </c>
      <c r="E46" s="131">
        <f t="shared" si="19"/>
        <v>0</v>
      </c>
      <c r="F46" s="131">
        <f t="shared" si="20"/>
        <v>0</v>
      </c>
      <c r="J46" s="117" t="s">
        <v>89</v>
      </c>
      <c r="K46" s="130">
        <f t="shared" si="21"/>
        <v>0</v>
      </c>
      <c r="L46" s="131">
        <f t="shared" si="22"/>
        <v>0</v>
      </c>
      <c r="M46" s="131">
        <f t="shared" si="23"/>
        <v>0</v>
      </c>
      <c r="N46" s="130">
        <f t="shared" si="24"/>
        <v>0</v>
      </c>
    </row>
    <row r="47" spans="2:16" x14ac:dyDescent="0.3">
      <c r="B47" s="47" t="s">
        <v>7</v>
      </c>
      <c r="C47" s="132">
        <f>SUM(C41:C46)</f>
        <v>4905</v>
      </c>
      <c r="D47" s="132">
        <f>SUM(D41:D46)</f>
        <v>2595</v>
      </c>
      <c r="E47" s="132">
        <f>SUM(E41:E46)</f>
        <v>0</v>
      </c>
      <c r="F47" s="132">
        <f>SUM(F41:F46)</f>
        <v>2595</v>
      </c>
      <c r="J47" s="47" t="s">
        <v>7</v>
      </c>
      <c r="K47" s="132">
        <f>SUM(K41:K46)</f>
        <v>4540.5</v>
      </c>
      <c r="L47" s="132">
        <f>SUM(L41:L46)</f>
        <v>1920</v>
      </c>
      <c r="M47" s="132">
        <f>SUM(M41:M46)</f>
        <v>1040</v>
      </c>
      <c r="N47" s="132">
        <f>SUM(N41:N46)</f>
        <v>2960</v>
      </c>
    </row>
    <row r="48" spans="2:16" x14ac:dyDescent="0.3">
      <c r="C48" s="46" t="s">
        <v>197</v>
      </c>
      <c r="K48" s="46" t="s">
        <v>197</v>
      </c>
    </row>
  </sheetData>
  <conditionalFormatting sqref="B7:B12">
    <cfRule type="containsText" dxfId="18" priority="20" operator="containsText" text="n/a">
      <formula>NOT(ISERROR(SEARCH("n/a",B7)))</formula>
    </cfRule>
  </conditionalFormatting>
  <conditionalFormatting sqref="B30:B35">
    <cfRule type="containsText" dxfId="17" priority="19" operator="containsText" text="n/a">
      <formula>NOT(ISERROR(SEARCH("n/a",B30)))</formula>
    </cfRule>
  </conditionalFormatting>
  <conditionalFormatting sqref="B18:B23">
    <cfRule type="containsText" dxfId="16" priority="17" operator="containsText" text="n/a">
      <formula>NOT(ISERROR(SEARCH("n/a",B18)))</formula>
    </cfRule>
  </conditionalFormatting>
  <conditionalFormatting sqref="B41:B46">
    <cfRule type="containsText" dxfId="15" priority="16" operator="containsText" text="n/a">
      <formula>NOT(ISERROR(SEARCH("n/a",B41)))</formula>
    </cfRule>
  </conditionalFormatting>
  <conditionalFormatting sqref="J7:J12">
    <cfRule type="containsText" dxfId="14" priority="15" operator="containsText" text="n/a">
      <formula>NOT(ISERROR(SEARCH("n/a",J7)))</formula>
    </cfRule>
  </conditionalFormatting>
  <conditionalFormatting sqref="J30:J35">
    <cfRule type="containsText" dxfId="13" priority="14" operator="containsText" text="n/a">
      <formula>NOT(ISERROR(SEARCH("n/a",J30)))</formula>
    </cfRule>
  </conditionalFormatting>
  <conditionalFormatting sqref="J18:J23">
    <cfRule type="containsText" dxfId="12" priority="13" operator="containsText" text="n/a">
      <formula>NOT(ISERROR(SEARCH("n/a",J18)))</formula>
    </cfRule>
  </conditionalFormatting>
  <conditionalFormatting sqref="J41:J46">
    <cfRule type="containsText" dxfId="11" priority="12" operator="containsText" text="n/a">
      <formula>NOT(ISERROR(SEARCH("n/a",J41)))</formula>
    </cfRule>
  </conditionalFormatting>
  <conditionalFormatting sqref="C11:E12 K11:M12 D22:G23 D34:D35 D45:F46 K34:L35 L45:M46 L22:O23">
    <cfRule type="containsText" dxfId="10" priority="11" operator="containsText" text="n/a">
      <formula>NOT(ISERROR(SEARCH("n/a",C11)))</formula>
    </cfRule>
  </conditionalFormatting>
  <conditionalFormatting sqref="C34:C35">
    <cfRule type="containsText" dxfId="9" priority="10" operator="containsText" text="n/a">
      <formula>NOT(ISERROR(SEARCH("n/a",C34)))</formula>
    </cfRule>
  </conditionalFormatting>
  <conditionalFormatting sqref="F11:F12">
    <cfRule type="containsText" dxfId="8" priority="9" operator="containsText" text="n/a">
      <formula>NOT(ISERROR(SEARCH("n/a",F11)))</formula>
    </cfRule>
  </conditionalFormatting>
  <conditionalFormatting sqref="H7:H12">
    <cfRule type="containsText" dxfId="7" priority="6" operator="containsText" text="n/a">
      <formula>NOT(ISERROR(SEARCH("n/a",H7)))</formula>
    </cfRule>
  </conditionalFormatting>
  <conditionalFormatting sqref="G7:G12">
    <cfRule type="containsText" dxfId="6" priority="4" operator="containsText" text="n/a">
      <formula>NOT(ISERROR(SEARCH("n/a",G7)))</formula>
    </cfRule>
  </conditionalFormatting>
  <conditionalFormatting sqref="N11:N12">
    <cfRule type="containsText" dxfId="5" priority="3" operator="containsText" text="n/a">
      <formula>NOT(ISERROR(SEARCH("n/a",N11)))</formula>
    </cfRule>
  </conditionalFormatting>
  <conditionalFormatting sqref="P7:P12">
    <cfRule type="containsText" dxfId="4" priority="2" operator="containsText" text="n/a">
      <formula>NOT(ISERROR(SEARCH("n/a",P7)))</formula>
    </cfRule>
  </conditionalFormatting>
  <conditionalFormatting sqref="O7:O12">
    <cfRule type="containsText" dxfId="3" priority="1" operator="containsText" text="n/a">
      <formula>NOT(ISERROR(SEARCH("n/a",O7)))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7:F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A03846-1EFC-44FA-BB93-CD503E0A3BFC}">
          <x14:formula1>
            <xm:f>Inputs!$D$5:$P$5</xm:f>
          </x14:formula1>
          <xm:sqref>C2 K2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67FE-9BEB-4264-B45A-9740917844A4}">
  <dimension ref="A1:N77"/>
  <sheetViews>
    <sheetView showGridLines="0" zoomScale="90" zoomScaleNormal="90" workbookViewId="0">
      <pane ySplit="2" topLeftCell="A3" activePane="bottomLeft" state="frozen"/>
      <selection pane="bottomLeft" activeCell="I17" sqref="I17"/>
    </sheetView>
  </sheetViews>
  <sheetFormatPr defaultColWidth="0" defaultRowHeight="10.5" customHeight="1" zeroHeight="1" x14ac:dyDescent="0.25"/>
  <cols>
    <col min="1" max="1" width="8.7265625" style="52" customWidth="1"/>
    <col min="2" max="2" width="7.81640625" style="56" customWidth="1"/>
    <col min="3" max="3" width="8.7265625" style="52" customWidth="1"/>
    <col min="4" max="11" width="12.7265625" style="52" customWidth="1"/>
    <col min="12" max="14" width="8.7265625" style="52" customWidth="1"/>
    <col min="15" max="16384" width="8.7265625" style="52" hidden="1"/>
  </cols>
  <sheetData>
    <row r="1" spans="1:14" ht="14" customHeight="1" x14ac:dyDescent="0.25"/>
    <row r="2" spans="1:14" s="96" customFormat="1" ht="14" customHeight="1" x14ac:dyDescent="0.3">
      <c r="B2" s="95" t="s">
        <v>174</v>
      </c>
    </row>
    <row r="3" spans="1:14" ht="14" customHeight="1" x14ac:dyDescent="0.3">
      <c r="B3" s="6" t="s">
        <v>185</v>
      </c>
    </row>
    <row r="4" spans="1:14" s="53" customFormat="1" ht="14" customHeight="1" x14ac:dyDescent="0.25">
      <c r="B4" s="51"/>
      <c r="N4" s="54"/>
    </row>
    <row r="5" spans="1:14" s="53" customFormat="1" ht="14" customHeight="1" x14ac:dyDescent="0.25">
      <c r="B5" s="51" t="s">
        <v>96</v>
      </c>
      <c r="C5" s="53" t="s">
        <v>139</v>
      </c>
      <c r="N5" s="54"/>
    </row>
    <row r="6" spans="1:14" s="53" customFormat="1" ht="14" customHeight="1" x14ac:dyDescent="0.25">
      <c r="B6" s="51"/>
      <c r="N6" s="54"/>
    </row>
    <row r="7" spans="1:14" s="53" customFormat="1" ht="14" customHeight="1" x14ac:dyDescent="0.25">
      <c r="B7" s="51"/>
      <c r="C7" s="31" t="s">
        <v>17</v>
      </c>
      <c r="D7" s="166" t="s">
        <v>71</v>
      </c>
      <c r="E7" s="166"/>
      <c r="F7" s="166" t="s">
        <v>91</v>
      </c>
      <c r="G7" s="166"/>
      <c r="H7" s="166" t="s">
        <v>92</v>
      </c>
      <c r="I7" s="166"/>
      <c r="J7" s="166" t="s">
        <v>93</v>
      </c>
      <c r="K7" s="166"/>
      <c r="N7" s="54"/>
    </row>
    <row r="8" spans="1:14" s="53" customFormat="1" ht="14" customHeight="1" x14ac:dyDescent="0.25">
      <c r="B8" s="51"/>
      <c r="C8" s="43" t="s">
        <v>68</v>
      </c>
      <c r="D8" s="55" t="s">
        <v>69</v>
      </c>
      <c r="E8" s="43" t="s">
        <v>70</v>
      </c>
      <c r="F8" s="55" t="s">
        <v>69</v>
      </c>
      <c r="G8" s="43" t="s">
        <v>70</v>
      </c>
      <c r="H8" s="55" t="s">
        <v>69</v>
      </c>
      <c r="I8" s="43" t="s">
        <v>70</v>
      </c>
      <c r="J8" s="55" t="s">
        <v>69</v>
      </c>
      <c r="K8" s="43" t="s">
        <v>70</v>
      </c>
      <c r="N8" s="54"/>
    </row>
    <row r="9" spans="1:14" s="53" customFormat="1" ht="14" customHeight="1" x14ac:dyDescent="0.25">
      <c r="B9" s="51"/>
      <c r="C9" s="32" t="s">
        <v>4</v>
      </c>
      <c r="D9" s="37">
        <v>0</v>
      </c>
      <c r="E9" s="41">
        <v>0</v>
      </c>
      <c r="F9" s="37">
        <v>527.03213610585999</v>
      </c>
      <c r="G9" s="41">
        <v>965.625</v>
      </c>
      <c r="H9" s="37">
        <v>0</v>
      </c>
      <c r="I9" s="41">
        <v>0</v>
      </c>
      <c r="J9" s="37">
        <v>527.03213610585999</v>
      </c>
      <c r="K9" s="41">
        <v>965.625</v>
      </c>
      <c r="N9" s="54"/>
    </row>
    <row r="10" spans="1:14" s="53" customFormat="1" ht="14" customHeight="1" x14ac:dyDescent="0.25">
      <c r="B10" s="51"/>
      <c r="C10" s="32" t="s">
        <v>5</v>
      </c>
      <c r="D10" s="37">
        <v>0</v>
      </c>
      <c r="E10" s="41">
        <v>0</v>
      </c>
      <c r="F10" s="37">
        <v>0</v>
      </c>
      <c r="G10" s="41">
        <v>0</v>
      </c>
      <c r="H10" s="37">
        <v>0</v>
      </c>
      <c r="I10" s="41">
        <v>0</v>
      </c>
      <c r="J10" s="37">
        <v>0</v>
      </c>
      <c r="K10" s="41">
        <v>0</v>
      </c>
      <c r="N10" s="54"/>
    </row>
    <row r="11" spans="1:14" s="53" customFormat="1" ht="14" customHeight="1" x14ac:dyDescent="0.25">
      <c r="B11" s="51"/>
      <c r="C11" s="32" t="s">
        <v>6</v>
      </c>
      <c r="D11" s="37">
        <v>0</v>
      </c>
      <c r="E11" s="41">
        <v>0</v>
      </c>
      <c r="F11" s="37">
        <v>1500</v>
      </c>
      <c r="G11" s="41">
        <v>965.625</v>
      </c>
      <c r="H11" s="37">
        <v>0</v>
      </c>
      <c r="I11" s="41">
        <v>28.486531190926318</v>
      </c>
      <c r="J11" s="37">
        <v>1500</v>
      </c>
      <c r="K11" s="41">
        <v>994.11153119092637</v>
      </c>
      <c r="L11" s="53" t="s">
        <v>184</v>
      </c>
      <c r="N11" s="54"/>
    </row>
    <row r="12" spans="1:14" s="53" customFormat="1" ht="14" customHeight="1" thickBot="1" x14ac:dyDescent="0.3">
      <c r="B12" s="51"/>
      <c r="C12" s="39" t="s">
        <v>60</v>
      </c>
      <c r="D12" s="58">
        <v>5472.9678638941396</v>
      </c>
      <c r="E12" s="57">
        <v>5472.9678638941396</v>
      </c>
      <c r="F12" s="40">
        <v>0</v>
      </c>
      <c r="G12" s="57">
        <v>0</v>
      </c>
      <c r="H12" s="40">
        <v>0</v>
      </c>
      <c r="I12" s="57">
        <v>0</v>
      </c>
      <c r="J12" s="40">
        <v>0</v>
      </c>
      <c r="K12" s="57">
        <v>0</v>
      </c>
      <c r="N12" s="54"/>
    </row>
    <row r="13" spans="1:14" s="53" customFormat="1" ht="14" customHeight="1" thickBot="1" x14ac:dyDescent="0.3">
      <c r="B13" s="51"/>
      <c r="C13" s="33" t="s">
        <v>7</v>
      </c>
      <c r="D13" s="38">
        <v>5472.9678638941396</v>
      </c>
      <c r="E13" s="38">
        <v>5472.9678638941396</v>
      </c>
      <c r="F13" s="38">
        <v>2027.03213610586</v>
      </c>
      <c r="G13" s="38">
        <v>1931.25</v>
      </c>
      <c r="H13" s="38">
        <v>0</v>
      </c>
      <c r="I13" s="38">
        <v>28.486531190926318</v>
      </c>
      <c r="J13" s="38">
        <v>2027.03213610586</v>
      </c>
      <c r="K13" s="38">
        <v>1959.7365311909264</v>
      </c>
      <c r="N13" s="54"/>
    </row>
    <row r="14" spans="1:14" s="53" customFormat="1" ht="14" customHeight="1" x14ac:dyDescent="0.25">
      <c r="B14" s="51"/>
      <c r="C14" s="34"/>
      <c r="D14" s="35"/>
      <c r="E14" s="35"/>
      <c r="F14" s="35"/>
      <c r="G14" s="35"/>
      <c r="H14" s="50"/>
      <c r="I14" s="36"/>
      <c r="J14" s="36"/>
      <c r="N14" s="54"/>
    </row>
    <row r="15" spans="1:14" s="53" customFormat="1" ht="14" customHeight="1" x14ac:dyDescent="0.25">
      <c r="B15" s="51"/>
      <c r="C15" s="34"/>
      <c r="D15" s="35"/>
      <c r="E15" s="35"/>
      <c r="F15" s="35"/>
      <c r="G15" s="35"/>
      <c r="H15" s="50"/>
      <c r="I15" s="36"/>
      <c r="J15" s="36"/>
      <c r="N15" s="54"/>
    </row>
    <row r="16" spans="1:14" s="53" customFormat="1" ht="14" customHeight="1" x14ac:dyDescent="0.25">
      <c r="A16" s="86"/>
      <c r="B16" s="86" t="s">
        <v>140</v>
      </c>
      <c r="C16" s="87"/>
      <c r="D16" s="88"/>
      <c r="E16" s="88"/>
      <c r="F16" s="88"/>
      <c r="G16" s="88"/>
      <c r="H16" s="89"/>
      <c r="I16" s="90"/>
      <c r="J16" s="90"/>
      <c r="K16" s="91"/>
      <c r="L16" s="91"/>
      <c r="M16" s="91"/>
      <c r="N16" s="92"/>
    </row>
    <row r="17" spans="1:14" s="53" customFormat="1" ht="4.5" customHeight="1" x14ac:dyDescent="0.25">
      <c r="A17" s="65"/>
      <c r="B17" s="93"/>
      <c r="C17" s="66"/>
      <c r="D17" s="67"/>
      <c r="E17" s="67"/>
      <c r="F17" s="67"/>
      <c r="G17" s="67"/>
      <c r="H17" s="68"/>
      <c r="I17" s="69"/>
      <c r="J17" s="69"/>
      <c r="K17" s="65"/>
      <c r="L17" s="65"/>
      <c r="M17" s="65"/>
      <c r="N17" s="70"/>
    </row>
    <row r="18" spans="1:14" s="53" customFormat="1" ht="14" customHeight="1" x14ac:dyDescent="0.25">
      <c r="C18" s="34"/>
      <c r="E18" s="72"/>
      <c r="F18" s="71"/>
      <c r="G18" s="35"/>
      <c r="H18" s="50"/>
      <c r="I18" s="36"/>
      <c r="J18" s="36"/>
      <c r="N18" s="54"/>
    </row>
    <row r="19" spans="1:14" s="53" customFormat="1" ht="14" customHeight="1" x14ac:dyDescent="0.25">
      <c r="B19" s="53" t="s">
        <v>99</v>
      </c>
      <c r="C19" s="34"/>
      <c r="E19" s="72">
        <f>J13-K13</f>
        <v>67.29560491493362</v>
      </c>
      <c r="F19" s="71" t="s">
        <v>100</v>
      </c>
      <c r="G19" s="35"/>
      <c r="H19" s="50"/>
      <c r="I19" s="36"/>
      <c r="J19" s="36"/>
      <c r="N19" s="54"/>
    </row>
    <row r="20" spans="1:14" s="53" customFormat="1" ht="14" customHeight="1" x14ac:dyDescent="0.25">
      <c r="B20" s="53" t="s">
        <v>101</v>
      </c>
      <c r="C20" s="34"/>
      <c r="D20" s="35"/>
      <c r="E20" s="35"/>
      <c r="F20" s="35"/>
      <c r="G20" s="35"/>
      <c r="H20" s="36"/>
      <c r="I20" s="36"/>
      <c r="J20" s="36"/>
      <c r="M20" s="49"/>
      <c r="N20" s="54"/>
    </row>
    <row r="21" spans="1:14" ht="14" customHeight="1" x14ac:dyDescent="0.25">
      <c r="B21" s="53" t="s">
        <v>141</v>
      </c>
    </row>
    <row r="22" spans="1:14" ht="14" customHeight="1" x14ac:dyDescent="0.25">
      <c r="B22" s="53" t="s">
        <v>142</v>
      </c>
    </row>
    <row r="23" spans="1:14" ht="14" customHeight="1" x14ac:dyDescent="0.25">
      <c r="B23" s="53" t="s">
        <v>104</v>
      </c>
      <c r="M23" s="64"/>
    </row>
    <row r="24" spans="1:14" ht="14" customHeight="1" x14ac:dyDescent="0.25">
      <c r="B24" s="52"/>
      <c r="M24" s="64"/>
    </row>
    <row r="25" spans="1:14" ht="14" customHeight="1" x14ac:dyDescent="0.35">
      <c r="B25" s="75" t="s">
        <v>105</v>
      </c>
      <c r="M25" s="64"/>
    </row>
    <row r="26" spans="1:14" ht="14" customHeight="1" x14ac:dyDescent="0.25">
      <c r="B26" s="52"/>
      <c r="M26" s="64"/>
    </row>
    <row r="27" spans="1:14" ht="14" customHeight="1" x14ac:dyDescent="0.25">
      <c r="B27" s="52"/>
      <c r="C27" s="31" t="s">
        <v>17</v>
      </c>
      <c r="D27" s="42" t="s">
        <v>74</v>
      </c>
      <c r="E27" s="166" t="s">
        <v>106</v>
      </c>
      <c r="F27" s="166"/>
      <c r="G27" s="166"/>
      <c r="H27" s="166" t="s">
        <v>107</v>
      </c>
      <c r="I27" s="166"/>
      <c r="J27" s="166"/>
      <c r="M27" s="64"/>
    </row>
    <row r="28" spans="1:14" ht="14" customHeight="1" x14ac:dyDescent="0.25">
      <c r="B28" s="52"/>
      <c r="C28" s="43" t="s">
        <v>68</v>
      </c>
      <c r="D28" s="43" t="s">
        <v>102</v>
      </c>
      <c r="E28" s="76" t="s">
        <v>7</v>
      </c>
      <c r="F28" s="77" t="s">
        <v>103</v>
      </c>
      <c r="G28" s="78" t="s">
        <v>95</v>
      </c>
      <c r="H28" s="76" t="s">
        <v>7</v>
      </c>
      <c r="I28" s="77" t="s">
        <v>103</v>
      </c>
      <c r="J28" s="78" t="s">
        <v>95</v>
      </c>
      <c r="M28" s="64"/>
    </row>
    <row r="29" spans="1:14" ht="14" customHeight="1" x14ac:dyDescent="0.25">
      <c r="B29" s="52"/>
      <c r="C29" s="32" t="s">
        <v>4</v>
      </c>
      <c r="D29" s="73">
        <f>Inputs!I74</f>
        <v>0.79349999999999998</v>
      </c>
      <c r="E29" s="79">
        <f>Inputs!I46</f>
        <v>35.135475740390667</v>
      </c>
      <c r="F29" s="79">
        <f>$D29*E29</f>
        <v>27.879999999999995</v>
      </c>
      <c r="G29" s="80">
        <f>E29*(1-$D29)</f>
        <v>7.2554757403906738</v>
      </c>
      <c r="H29" s="79">
        <f>Inputs!I54</f>
        <v>35.135475740390667</v>
      </c>
      <c r="I29" s="79">
        <f>$D29*H29</f>
        <v>27.879999999999995</v>
      </c>
      <c r="J29" s="80">
        <f>H29*(1-$D29)</f>
        <v>7.2554757403906738</v>
      </c>
      <c r="M29" s="64"/>
    </row>
    <row r="30" spans="1:14" ht="14" customHeight="1" x14ac:dyDescent="0.25">
      <c r="B30" s="52"/>
      <c r="C30" s="32" t="s">
        <v>5</v>
      </c>
      <c r="D30" s="73">
        <f>Inputs!I75</f>
        <v>1</v>
      </c>
      <c r="E30" s="79">
        <f>Inputs!I47</f>
        <v>0</v>
      </c>
      <c r="F30" s="79">
        <f t="shared" ref="F30:F32" si="0">$D30*E30</f>
        <v>0</v>
      </c>
      <c r="G30" s="80">
        <f t="shared" ref="G30:G32" si="1">E30*(1-$D30)</f>
        <v>0</v>
      </c>
      <c r="H30" s="79">
        <f>Inputs!I55</f>
        <v>0</v>
      </c>
      <c r="I30" s="79">
        <f t="shared" ref="I30:I32" si="2">$D30*H30</f>
        <v>0</v>
      </c>
      <c r="J30" s="80">
        <f t="shared" ref="J30:J32" si="3">H30*(1-$D30)</f>
        <v>0</v>
      </c>
      <c r="M30" s="64"/>
    </row>
    <row r="31" spans="1:14" ht="14" customHeight="1" x14ac:dyDescent="0.25">
      <c r="B31" s="52"/>
      <c r="C31" s="32" t="s">
        <v>6</v>
      </c>
      <c r="D31" s="73">
        <f>Inputs!I76</f>
        <v>0.75119999999999998</v>
      </c>
      <c r="E31" s="79">
        <f>Inputs!I48</f>
        <v>100</v>
      </c>
      <c r="F31" s="79">
        <f t="shared" si="0"/>
        <v>75.12</v>
      </c>
      <c r="G31" s="80">
        <f t="shared" si="1"/>
        <v>24.880000000000003</v>
      </c>
      <c r="H31" s="79">
        <f>Inputs!I56</f>
        <v>100</v>
      </c>
      <c r="I31" s="79">
        <f t="shared" si="2"/>
        <v>75.12</v>
      </c>
      <c r="J31" s="80">
        <f t="shared" si="3"/>
        <v>24.880000000000003</v>
      </c>
      <c r="M31" s="64"/>
    </row>
    <row r="32" spans="1:14" ht="14" customHeight="1" thickBot="1" x14ac:dyDescent="0.3">
      <c r="B32" s="52"/>
      <c r="C32" s="39" t="s">
        <v>60</v>
      </c>
      <c r="D32" s="74">
        <f>Inputs!I77</f>
        <v>0</v>
      </c>
      <c r="E32" s="81">
        <f>Inputs!I49</f>
        <v>364.86452425960931</v>
      </c>
      <c r="F32" s="82">
        <f t="shared" si="0"/>
        <v>0</v>
      </c>
      <c r="G32" s="83">
        <f t="shared" si="1"/>
        <v>364.86452425960931</v>
      </c>
      <c r="H32" s="81">
        <f>Inputs!I57</f>
        <v>364.86452425960931</v>
      </c>
      <c r="I32" s="82">
        <f t="shared" si="2"/>
        <v>0</v>
      </c>
      <c r="J32" s="83">
        <f t="shared" si="3"/>
        <v>364.86452425960931</v>
      </c>
      <c r="M32" s="64"/>
    </row>
    <row r="33" spans="2:13" ht="14" customHeight="1" thickBot="1" x14ac:dyDescent="0.3">
      <c r="B33" s="52"/>
      <c r="C33" s="33" t="s">
        <v>7</v>
      </c>
      <c r="D33" s="38"/>
      <c r="E33" s="84">
        <f t="shared" ref="E33:J33" si="4">SUM(E29:E32)</f>
        <v>500</v>
      </c>
      <c r="F33" s="85">
        <f t="shared" si="4"/>
        <v>103</v>
      </c>
      <c r="G33" s="84">
        <f t="shared" si="4"/>
        <v>397</v>
      </c>
      <c r="H33" s="84">
        <f t="shared" si="4"/>
        <v>500</v>
      </c>
      <c r="I33" s="85">
        <f t="shared" si="4"/>
        <v>103</v>
      </c>
      <c r="J33" s="84">
        <f t="shared" si="4"/>
        <v>397</v>
      </c>
      <c r="M33" s="64"/>
    </row>
    <row r="34" spans="2:13" ht="14" customHeight="1" x14ac:dyDescent="0.25">
      <c r="B34" s="52"/>
      <c r="M34" s="64"/>
    </row>
    <row r="35" spans="2:13" ht="14" customHeight="1" x14ac:dyDescent="0.35">
      <c r="B35" s="75" t="s">
        <v>108</v>
      </c>
      <c r="M35" s="64"/>
    </row>
    <row r="36" spans="2:13" ht="14" customHeight="1" x14ac:dyDescent="0.25">
      <c r="B36" s="75"/>
      <c r="M36" s="64"/>
    </row>
    <row r="37" spans="2:13" ht="14" customHeight="1" x14ac:dyDescent="0.25">
      <c r="B37" s="75"/>
      <c r="C37" s="31" t="s">
        <v>17</v>
      </c>
      <c r="D37" s="44" t="s">
        <v>74</v>
      </c>
      <c r="E37" s="166" t="s">
        <v>106</v>
      </c>
      <c r="F37" s="166"/>
      <c r="G37" s="166"/>
      <c r="H37" s="166" t="s">
        <v>107</v>
      </c>
      <c r="I37" s="166"/>
      <c r="J37" s="166"/>
      <c r="M37" s="64"/>
    </row>
    <row r="38" spans="2:13" ht="14" customHeight="1" x14ac:dyDescent="0.25">
      <c r="B38" s="75"/>
      <c r="C38" s="43" t="s">
        <v>68</v>
      </c>
      <c r="D38" s="43" t="s">
        <v>102</v>
      </c>
      <c r="E38" s="76" t="s">
        <v>7</v>
      </c>
      <c r="F38" s="77" t="s">
        <v>103</v>
      </c>
      <c r="G38" s="78" t="s">
        <v>95</v>
      </c>
      <c r="H38" s="76" t="s">
        <v>7</v>
      </c>
      <c r="I38" s="77" t="s">
        <v>103</v>
      </c>
      <c r="J38" s="78" t="s">
        <v>95</v>
      </c>
      <c r="M38" s="64"/>
    </row>
    <row r="39" spans="2:13" ht="14" customHeight="1" x14ac:dyDescent="0.25">
      <c r="B39" s="75"/>
      <c r="C39" s="32" t="s">
        <v>4</v>
      </c>
      <c r="D39" s="73">
        <f>Inputs!K74</f>
        <v>0.79349999999999998</v>
      </c>
      <c r="E39" s="79">
        <f>Inputs!K46</f>
        <v>64.375</v>
      </c>
      <c r="F39" s="79">
        <f>$D39*E39</f>
        <v>51.081562499999997</v>
      </c>
      <c r="G39" s="80">
        <f>E39*(1-$D39)</f>
        <v>13.293437500000001</v>
      </c>
      <c r="H39" s="79">
        <f>Inputs!K54</f>
        <v>35.135475740390667</v>
      </c>
      <c r="I39" s="79">
        <f>$D39*H39</f>
        <v>27.879999999999995</v>
      </c>
      <c r="J39" s="80">
        <f>H39*(1-$D39)</f>
        <v>7.2554757403906738</v>
      </c>
      <c r="M39" s="64"/>
    </row>
    <row r="40" spans="2:13" ht="14" customHeight="1" x14ac:dyDescent="0.25">
      <c r="B40" s="75"/>
      <c r="C40" s="32" t="s">
        <v>5</v>
      </c>
      <c r="D40" s="73">
        <f>Inputs!K75</f>
        <v>1</v>
      </c>
      <c r="E40" s="79">
        <f>Inputs!K47</f>
        <v>0</v>
      </c>
      <c r="F40" s="79">
        <f t="shared" ref="F40:F42" si="5">$D40*E40</f>
        <v>0</v>
      </c>
      <c r="G40" s="80">
        <f t="shared" ref="G40:G42" si="6">E40*(1-$D40)</f>
        <v>0</v>
      </c>
      <c r="H40" s="79">
        <f>Inputs!K55</f>
        <v>0</v>
      </c>
      <c r="I40" s="79">
        <f t="shared" ref="I40:I42" si="7">$D40*H40</f>
        <v>0</v>
      </c>
      <c r="J40" s="80">
        <f t="shared" ref="J40:J42" si="8">H40*(1-$D40)</f>
        <v>0</v>
      </c>
      <c r="M40" s="64"/>
    </row>
    <row r="41" spans="2:13" ht="14" customHeight="1" x14ac:dyDescent="0.25">
      <c r="B41" s="52"/>
      <c r="C41" s="32" t="s">
        <v>6</v>
      </c>
      <c r="D41" s="73">
        <f>Inputs!K76</f>
        <v>0.75119999999999998</v>
      </c>
      <c r="E41" s="79">
        <f>Inputs!K48</f>
        <v>64.375</v>
      </c>
      <c r="F41" s="79">
        <f t="shared" si="5"/>
        <v>48.358499999999999</v>
      </c>
      <c r="G41" s="80">
        <f t="shared" si="6"/>
        <v>16.016500000000001</v>
      </c>
      <c r="H41" s="79">
        <f>Inputs!K56</f>
        <v>100</v>
      </c>
      <c r="I41" s="79">
        <f t="shared" si="7"/>
        <v>75.12</v>
      </c>
      <c r="J41" s="80">
        <f t="shared" si="8"/>
        <v>24.880000000000003</v>
      </c>
      <c r="M41" s="64"/>
    </row>
    <row r="42" spans="2:13" ht="14" customHeight="1" thickBot="1" x14ac:dyDescent="0.3">
      <c r="C42" s="39" t="s">
        <v>60</v>
      </c>
      <c r="D42" s="74">
        <f>Inputs!K77</f>
        <v>0</v>
      </c>
      <c r="E42" s="81">
        <f>Inputs!K49</f>
        <v>371.25</v>
      </c>
      <c r="F42" s="82">
        <f t="shared" si="5"/>
        <v>0</v>
      </c>
      <c r="G42" s="83">
        <f t="shared" si="6"/>
        <v>371.25</v>
      </c>
      <c r="H42" s="81">
        <f>Inputs!K57</f>
        <v>364.86452425960931</v>
      </c>
      <c r="I42" s="82">
        <f t="shared" si="7"/>
        <v>0</v>
      </c>
      <c r="J42" s="83">
        <f t="shared" si="8"/>
        <v>364.86452425960931</v>
      </c>
      <c r="M42" s="64"/>
    </row>
    <row r="43" spans="2:13" ht="14" customHeight="1" thickBot="1" x14ac:dyDescent="0.3">
      <c r="C43" s="33" t="s">
        <v>7</v>
      </c>
      <c r="D43" s="38"/>
      <c r="E43" s="84">
        <f t="shared" ref="E43" si="9">SUM(E39:E42)</f>
        <v>500</v>
      </c>
      <c r="F43" s="94">
        <f t="shared" ref="F43" si="10">SUM(F39:F42)</f>
        <v>99.440062499999996</v>
      </c>
      <c r="G43" s="84">
        <f t="shared" ref="G43" si="11">SUM(G39:G42)</f>
        <v>400.55993749999999</v>
      </c>
      <c r="H43" s="84">
        <f t="shared" ref="H43" si="12">SUM(H39:H42)</f>
        <v>500</v>
      </c>
      <c r="I43" s="85">
        <f t="shared" ref="I43" si="13">SUM(I39:I42)</f>
        <v>103</v>
      </c>
      <c r="J43" s="84">
        <f t="shared" ref="J43" si="14">SUM(J39:J42)</f>
        <v>397</v>
      </c>
      <c r="M43" s="64"/>
    </row>
    <row r="44" spans="2:13" ht="14" customHeight="1" x14ac:dyDescent="0.25">
      <c r="M44" s="64"/>
    </row>
    <row r="45" spans="2:13" ht="14" customHeight="1" x14ac:dyDescent="0.25">
      <c r="M45" s="64"/>
    </row>
    <row r="46" spans="2:13" ht="14" customHeight="1" x14ac:dyDescent="0.25">
      <c r="B46" s="75" t="s">
        <v>111</v>
      </c>
      <c r="M46" s="64"/>
    </row>
    <row r="47" spans="2:13" ht="14" customHeight="1" x14ac:dyDescent="0.25">
      <c r="M47" s="64"/>
    </row>
    <row r="48" spans="2:13" ht="14" customHeight="1" x14ac:dyDescent="0.25">
      <c r="C48" s="31" t="s">
        <v>17</v>
      </c>
      <c r="D48" s="44" t="s">
        <v>74</v>
      </c>
      <c r="E48" s="166" t="s">
        <v>110</v>
      </c>
      <c r="F48" s="166"/>
      <c r="G48" s="166"/>
      <c r="M48" s="64"/>
    </row>
    <row r="49" spans="3:13" ht="14" customHeight="1" x14ac:dyDescent="0.25">
      <c r="C49" s="43" t="s">
        <v>68</v>
      </c>
      <c r="D49" s="43" t="s">
        <v>109</v>
      </c>
      <c r="E49" s="76" t="s">
        <v>7</v>
      </c>
      <c r="F49" s="77" t="s">
        <v>103</v>
      </c>
      <c r="G49" s="78" t="s">
        <v>95</v>
      </c>
      <c r="M49" s="64"/>
    </row>
    <row r="50" spans="3:13" ht="14" customHeight="1" x14ac:dyDescent="0.25">
      <c r="C50" s="32" t="s">
        <v>4</v>
      </c>
      <c r="D50" s="73">
        <f>ROUND(D39,1)</f>
        <v>0.8</v>
      </c>
      <c r="E50" s="79">
        <f>Inputs!K46</f>
        <v>64.375</v>
      </c>
      <c r="F50" s="79">
        <f>$D50*E50</f>
        <v>51.5</v>
      </c>
      <c r="G50" s="80">
        <f>E50*(1-$D50)</f>
        <v>12.874999999999996</v>
      </c>
      <c r="M50" s="64"/>
    </row>
    <row r="51" spans="3:13" ht="14" customHeight="1" x14ac:dyDescent="0.25">
      <c r="C51" s="32" t="s">
        <v>5</v>
      </c>
      <c r="D51" s="73">
        <f t="shared" ref="D51:D53" si="15">ROUND(D40,1)</f>
        <v>1</v>
      </c>
      <c r="E51" s="79">
        <f>Inputs!K47</f>
        <v>0</v>
      </c>
      <c r="F51" s="79">
        <f t="shared" ref="F51:F53" si="16">$D51*E51</f>
        <v>0</v>
      </c>
      <c r="G51" s="80">
        <f t="shared" ref="G51:G53" si="17">E51*(1-$D51)</f>
        <v>0</v>
      </c>
      <c r="M51" s="64"/>
    </row>
    <row r="52" spans="3:13" ht="14" customHeight="1" x14ac:dyDescent="0.25">
      <c r="C52" s="32" t="s">
        <v>6</v>
      </c>
      <c r="D52" s="73">
        <f t="shared" si="15"/>
        <v>0.8</v>
      </c>
      <c r="E52" s="79">
        <f>Inputs!K48</f>
        <v>64.375</v>
      </c>
      <c r="F52" s="79">
        <f t="shared" si="16"/>
        <v>51.5</v>
      </c>
      <c r="G52" s="80">
        <f t="shared" si="17"/>
        <v>12.874999999999996</v>
      </c>
      <c r="M52" s="64"/>
    </row>
    <row r="53" spans="3:13" ht="14" customHeight="1" thickBot="1" x14ac:dyDescent="0.3">
      <c r="C53" s="39" t="s">
        <v>60</v>
      </c>
      <c r="D53" s="74">
        <f t="shared" si="15"/>
        <v>0</v>
      </c>
      <c r="E53" s="81">
        <f>Inputs!K49</f>
        <v>371.25</v>
      </c>
      <c r="F53" s="82">
        <f t="shared" si="16"/>
        <v>0</v>
      </c>
      <c r="G53" s="83">
        <f t="shared" si="17"/>
        <v>371.25</v>
      </c>
      <c r="M53" s="64"/>
    </row>
    <row r="54" spans="3:13" ht="14" customHeight="1" thickBot="1" x14ac:dyDescent="0.3">
      <c r="C54" s="33" t="s">
        <v>7</v>
      </c>
      <c r="D54" s="38"/>
      <c r="E54" s="84">
        <f t="shared" ref="E54" si="18">SUM(E50:E53)</f>
        <v>500</v>
      </c>
      <c r="F54" s="85">
        <f t="shared" ref="F54" si="19">SUM(F50:F53)</f>
        <v>103</v>
      </c>
      <c r="G54" s="84">
        <f t="shared" ref="G54" si="20">SUM(G50:G53)</f>
        <v>397</v>
      </c>
      <c r="M54" s="64"/>
    </row>
    <row r="55" spans="3:13" ht="14" customHeight="1" x14ac:dyDescent="0.25"/>
    <row r="56" spans="3:13" ht="10.5" customHeight="1" x14ac:dyDescent="0.25"/>
    <row r="57" spans="3:13" ht="10.5" customHeight="1" x14ac:dyDescent="0.25"/>
    <row r="58" spans="3:13" ht="10.5" customHeight="1" x14ac:dyDescent="0.25"/>
    <row r="59" spans="3:13" ht="10.5" customHeight="1" x14ac:dyDescent="0.25"/>
    <row r="60" spans="3:13" ht="10.5" customHeight="1" x14ac:dyDescent="0.25"/>
    <row r="61" spans="3:13" ht="10.5" customHeight="1" x14ac:dyDescent="0.25"/>
    <row r="62" spans="3:13" ht="10.5" customHeight="1" x14ac:dyDescent="0.25"/>
    <row r="63" spans="3:13" ht="10.5" customHeight="1" x14ac:dyDescent="0.25"/>
    <row r="64" spans="3:13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</sheetData>
  <mergeCells count="9">
    <mergeCell ref="E48:G48"/>
    <mergeCell ref="H27:J27"/>
    <mergeCell ref="E27:G27"/>
    <mergeCell ref="D7:E7"/>
    <mergeCell ref="F7:G7"/>
    <mergeCell ref="H7:I7"/>
    <mergeCell ref="J7:K7"/>
    <mergeCell ref="E37:G37"/>
    <mergeCell ref="H37:J37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F47C-0B23-481E-ADCC-24193AF9C363}">
  <dimension ref="A3:M215"/>
  <sheetViews>
    <sheetView zoomScale="80" zoomScaleNormal="80" workbookViewId="0">
      <selection activeCell="D16" sqref="D16"/>
    </sheetView>
  </sheetViews>
  <sheetFormatPr defaultColWidth="8.7265625" defaultRowHeight="13.5" customHeight="1" x14ac:dyDescent="0.3"/>
  <cols>
    <col min="1" max="1" width="8.7265625" style="6"/>
    <col min="2" max="2" width="12.1796875" style="6" customWidth="1"/>
    <col min="3" max="3" width="12.453125" style="6" customWidth="1"/>
    <col min="4" max="4" width="12.54296875" style="6" customWidth="1"/>
    <col min="5" max="7" width="13.26953125" style="6" customWidth="1"/>
    <col min="8" max="9" width="18.1796875" style="6" customWidth="1"/>
    <col min="10" max="11" width="20.7265625" style="6" customWidth="1"/>
    <col min="12" max="12" width="12.453125" style="6" customWidth="1"/>
    <col min="13" max="13" width="12.453125" style="2" customWidth="1"/>
    <col min="14" max="15" width="8.7265625" style="6"/>
    <col min="16" max="16" width="12.453125" style="6" customWidth="1"/>
    <col min="17" max="16384" width="8.7265625" style="6"/>
  </cols>
  <sheetData>
    <row r="3" spans="1:11" ht="13.5" customHeight="1" x14ac:dyDescent="0.3">
      <c r="B3" s="6" t="s">
        <v>62</v>
      </c>
      <c r="C3" s="6">
        <v>500</v>
      </c>
    </row>
    <row r="9" spans="1:11" ht="13.5" customHeight="1" x14ac:dyDescent="0.3">
      <c r="A9" s="6">
        <v>1</v>
      </c>
      <c r="B9" s="6" t="str">
        <f>CONCATENATE("Table ",A9)</f>
        <v>Table 1</v>
      </c>
      <c r="C9" s="6" t="s">
        <v>30</v>
      </c>
    </row>
    <row r="10" spans="1:11" ht="13.5" customHeight="1" thickBot="1" x14ac:dyDescent="0.35"/>
    <row r="11" spans="1:11" ht="13.5" customHeight="1" thickBot="1" x14ac:dyDescent="0.35">
      <c r="B11" s="7" t="s">
        <v>17</v>
      </c>
      <c r="C11" s="7" t="s">
        <v>18</v>
      </c>
      <c r="D11" s="8" t="s">
        <v>14</v>
      </c>
      <c r="E11" s="7" t="s">
        <v>8</v>
      </c>
      <c r="F11" s="7" t="s">
        <v>1</v>
      </c>
      <c r="G11" s="8" t="s">
        <v>0</v>
      </c>
      <c r="H11" s="8" t="s">
        <v>1</v>
      </c>
      <c r="I11" s="8" t="s">
        <v>2</v>
      </c>
    </row>
    <row r="12" spans="1:11" ht="13.5" customHeight="1" thickBot="1" x14ac:dyDescent="0.35">
      <c r="B12" s="9"/>
      <c r="C12" s="12"/>
      <c r="D12" s="10"/>
      <c r="E12" s="9"/>
      <c r="F12" s="9"/>
      <c r="G12" s="10" t="s">
        <v>15</v>
      </c>
      <c r="H12" s="10" t="s">
        <v>16</v>
      </c>
      <c r="I12" s="10" t="s">
        <v>3</v>
      </c>
    </row>
    <row r="13" spans="1:11" ht="13.5" customHeight="1" thickBot="1" x14ac:dyDescent="0.35">
      <c r="B13" s="9" t="s">
        <v>4</v>
      </c>
      <c r="C13" s="3">
        <v>0.75</v>
      </c>
      <c r="D13" s="27">
        <f>(103-30)/0.75</f>
        <v>97.333333333333329</v>
      </c>
      <c r="E13" s="9">
        <v>15</v>
      </c>
      <c r="F13" s="9">
        <v>5</v>
      </c>
      <c r="G13" s="10">
        <f>D13*E13</f>
        <v>1460</v>
      </c>
      <c r="H13" s="10">
        <f>D13*F13</f>
        <v>486.66666666666663</v>
      </c>
      <c r="I13" s="10">
        <f>G13-H13</f>
        <v>973.33333333333337</v>
      </c>
    </row>
    <row r="14" spans="1:11" ht="13.5" customHeight="1" thickBot="1" x14ac:dyDescent="0.35">
      <c r="B14" s="9" t="s">
        <v>5</v>
      </c>
      <c r="C14" s="5">
        <v>1</v>
      </c>
      <c r="D14" s="10">
        <v>0</v>
      </c>
      <c r="E14" s="9">
        <v>15</v>
      </c>
      <c r="F14" s="9">
        <v>0</v>
      </c>
      <c r="G14" s="10">
        <f t="shared" ref="G14:G15" si="0">D14*E14</f>
        <v>0</v>
      </c>
      <c r="H14" s="10">
        <f t="shared" ref="H14:H15" si="1">D14*F14</f>
        <v>0</v>
      </c>
      <c r="I14" s="10">
        <f t="shared" ref="I14:I15" si="2">G14-H14</f>
        <v>0</v>
      </c>
      <c r="K14" s="15"/>
    </row>
    <row r="15" spans="1:11" ht="13.5" customHeight="1" thickBot="1" x14ac:dyDescent="0.35">
      <c r="B15" s="9" t="s">
        <v>6</v>
      </c>
      <c r="C15" s="5">
        <v>0.3</v>
      </c>
      <c r="D15" s="10">
        <v>100</v>
      </c>
      <c r="E15" s="9">
        <v>15</v>
      </c>
      <c r="F15" s="9">
        <v>10</v>
      </c>
      <c r="G15" s="10">
        <f t="shared" si="0"/>
        <v>1500</v>
      </c>
      <c r="H15" s="10">
        <f t="shared" si="1"/>
        <v>1000</v>
      </c>
      <c r="I15" s="10">
        <f t="shared" si="2"/>
        <v>500</v>
      </c>
    </row>
    <row r="16" spans="1:11" ht="13.5" customHeight="1" thickBot="1" x14ac:dyDescent="0.35">
      <c r="B16" s="9" t="s">
        <v>60</v>
      </c>
      <c r="C16" s="5">
        <v>1</v>
      </c>
      <c r="D16" s="27">
        <f>$C$3-SUM(D13:D15)</f>
        <v>302.66666666666669</v>
      </c>
      <c r="E16" s="9">
        <v>15</v>
      </c>
      <c r="F16" s="9">
        <v>15</v>
      </c>
      <c r="G16" s="10">
        <f t="shared" ref="G16" si="3">D16*E16</f>
        <v>4540</v>
      </c>
      <c r="H16" s="10">
        <f t="shared" ref="H16" si="4">D16*F16</f>
        <v>4540</v>
      </c>
      <c r="I16" s="10">
        <f t="shared" ref="I16" si="5">G16-H16</f>
        <v>0</v>
      </c>
    </row>
    <row r="17" spans="1:13" s="14" customFormat="1" ht="13.5" customHeight="1" thickBot="1" x14ac:dyDescent="0.35">
      <c r="B17" s="12" t="s">
        <v>7</v>
      </c>
      <c r="C17" s="12"/>
      <c r="D17" s="13">
        <f>SUM(D13:D16)</f>
        <v>500</v>
      </c>
      <c r="E17" s="12"/>
      <c r="F17" s="12"/>
      <c r="G17" s="13">
        <f>SUM(G13:G16)</f>
        <v>7500</v>
      </c>
      <c r="H17" s="13">
        <f>SUM(H13:H16)</f>
        <v>6026.6666666666661</v>
      </c>
      <c r="I17" s="13">
        <f>SUM(I13:I16)</f>
        <v>1473.3333333333335</v>
      </c>
      <c r="J17" s="6"/>
      <c r="M17" s="16"/>
    </row>
    <row r="20" spans="1:13" ht="13.5" customHeight="1" x14ac:dyDescent="0.3">
      <c r="A20" s="6">
        <f>A9+1</f>
        <v>2</v>
      </c>
      <c r="B20" s="6" t="str">
        <f>CONCATENATE("Table ",A20)</f>
        <v>Table 2</v>
      </c>
      <c r="C20" s="6" t="s">
        <v>31</v>
      </c>
    </row>
    <row r="21" spans="1:13" ht="13.5" customHeight="1" thickBot="1" x14ac:dyDescent="0.35">
      <c r="F21" s="6">
        <f>(15-(0-1000))*(1/0.75)</f>
        <v>1353.3333333333333</v>
      </c>
    </row>
    <row r="22" spans="1:13" ht="13.5" customHeight="1" thickBot="1" x14ac:dyDescent="0.35">
      <c r="B22" s="7" t="s">
        <v>17</v>
      </c>
      <c r="C22" s="7" t="s">
        <v>1</v>
      </c>
      <c r="D22" s="7" t="s">
        <v>8</v>
      </c>
      <c r="E22" s="7" t="s">
        <v>18</v>
      </c>
      <c r="F22" s="7" t="s">
        <v>19</v>
      </c>
      <c r="G22" s="7" t="s">
        <v>9</v>
      </c>
    </row>
    <row r="23" spans="1:13" ht="13.5" customHeight="1" thickBot="1" x14ac:dyDescent="0.35">
      <c r="B23" s="12"/>
      <c r="C23" s="13"/>
      <c r="D23" s="13"/>
      <c r="E23" s="12"/>
      <c r="F23" s="12"/>
      <c r="G23" s="13"/>
    </row>
    <row r="24" spans="1:13" ht="13.5" customHeight="1" thickBot="1" x14ac:dyDescent="0.35">
      <c r="B24" s="9" t="s">
        <v>4</v>
      </c>
      <c r="C24" s="10">
        <v>5</v>
      </c>
      <c r="D24" s="10">
        <v>15</v>
      </c>
      <c r="E24" s="3">
        <v>0.75</v>
      </c>
      <c r="F24" s="9">
        <f>$F$21</f>
        <v>1353.3333333333333</v>
      </c>
      <c r="G24" s="10">
        <f>D24-E24*F24</f>
        <v>-1000</v>
      </c>
    </row>
    <row r="25" spans="1:13" ht="13.5" customHeight="1" thickBot="1" x14ac:dyDescent="0.35">
      <c r="B25" s="9" t="s">
        <v>5</v>
      </c>
      <c r="C25" s="10">
        <v>0</v>
      </c>
      <c r="D25" s="10">
        <v>15</v>
      </c>
      <c r="E25" s="5">
        <v>1</v>
      </c>
      <c r="F25" s="9">
        <f>$F$21</f>
        <v>1353.3333333333333</v>
      </c>
      <c r="G25" s="10">
        <f t="shared" ref="G25:G26" si="6">D25-E25*F25</f>
        <v>-1338.3333333333333</v>
      </c>
      <c r="J25" s="26">
        <f>J23/0.75</f>
        <v>0</v>
      </c>
    </row>
    <row r="26" spans="1:13" ht="13.5" customHeight="1" thickBot="1" x14ac:dyDescent="0.35">
      <c r="B26" s="9" t="s">
        <v>6</v>
      </c>
      <c r="C26" s="10">
        <v>10</v>
      </c>
      <c r="D26" s="10">
        <v>15</v>
      </c>
      <c r="E26" s="5">
        <v>0.3</v>
      </c>
      <c r="F26" s="9">
        <f>$F$21</f>
        <v>1353.3333333333333</v>
      </c>
      <c r="G26" s="10">
        <f t="shared" si="6"/>
        <v>-390.99999999999994</v>
      </c>
    </row>
    <row r="27" spans="1:13" ht="13.5" customHeight="1" x14ac:dyDescent="0.3">
      <c r="J27" s="6">
        <f>J25-J23</f>
        <v>0</v>
      </c>
      <c r="M27" s="6"/>
    </row>
    <row r="30" spans="1:13" ht="13.5" customHeight="1" x14ac:dyDescent="0.3">
      <c r="A30" s="6">
        <f>A20+1</f>
        <v>3</v>
      </c>
      <c r="B30" s="6" t="str">
        <f>CONCATENATE("Table ",A30)</f>
        <v>Table 3</v>
      </c>
      <c r="C30" s="6" t="s">
        <v>32</v>
      </c>
    </row>
    <row r="31" spans="1:13" ht="13.5" customHeight="1" thickBot="1" x14ac:dyDescent="0.35"/>
    <row r="32" spans="1:13" ht="13.5" customHeight="1" thickBot="1" x14ac:dyDescent="0.35">
      <c r="B32" s="7" t="s">
        <v>17</v>
      </c>
      <c r="C32" s="8" t="s">
        <v>14</v>
      </c>
      <c r="D32" s="7" t="s">
        <v>8</v>
      </c>
      <c r="E32" s="7" t="s">
        <v>1</v>
      </c>
      <c r="F32" s="8" t="s">
        <v>0</v>
      </c>
      <c r="G32" s="8" t="s">
        <v>1</v>
      </c>
      <c r="H32" s="8" t="s">
        <v>2</v>
      </c>
    </row>
    <row r="33" spans="1:13" ht="13.5" customHeight="1" thickBot="1" x14ac:dyDescent="0.35">
      <c r="B33" s="9"/>
      <c r="C33" s="10"/>
      <c r="D33" s="9"/>
      <c r="E33" s="9"/>
      <c r="F33" s="10" t="s">
        <v>15</v>
      </c>
      <c r="G33" s="10" t="s">
        <v>16</v>
      </c>
      <c r="H33" s="10" t="s">
        <v>3</v>
      </c>
    </row>
    <row r="34" spans="1:13" ht="13.5" customHeight="1" thickBot="1" x14ac:dyDescent="0.35">
      <c r="B34" s="9" t="s">
        <v>4</v>
      </c>
      <c r="C34" s="10">
        <v>0</v>
      </c>
      <c r="D34" s="9">
        <v>15</v>
      </c>
      <c r="E34" s="9">
        <v>5</v>
      </c>
      <c r="F34" s="10">
        <f>C34*D34</f>
        <v>0</v>
      </c>
      <c r="G34" s="10">
        <f>C34*E34</f>
        <v>0</v>
      </c>
      <c r="H34" s="10">
        <f>F34-G34</f>
        <v>0</v>
      </c>
    </row>
    <row r="35" spans="1:13" ht="13.5" customHeight="1" thickBot="1" x14ac:dyDescent="0.35">
      <c r="B35" s="9" t="s">
        <v>5</v>
      </c>
      <c r="C35" s="10">
        <v>73</v>
      </c>
      <c r="D35" s="9">
        <v>15</v>
      </c>
      <c r="E35" s="9">
        <v>0</v>
      </c>
      <c r="F35" s="10">
        <f t="shared" ref="F35:F36" si="7">C35*D35</f>
        <v>1095</v>
      </c>
      <c r="G35" s="10">
        <f t="shared" ref="G35:G36" si="8">C35*E35</f>
        <v>0</v>
      </c>
      <c r="H35" s="10">
        <f t="shared" ref="H35:H36" si="9">F35-G35</f>
        <v>1095</v>
      </c>
    </row>
    <row r="36" spans="1:13" ht="13.5" customHeight="1" thickBot="1" x14ac:dyDescent="0.35">
      <c r="B36" s="9" t="s">
        <v>6</v>
      </c>
      <c r="C36" s="10">
        <v>100</v>
      </c>
      <c r="D36" s="9">
        <v>15</v>
      </c>
      <c r="E36" s="9">
        <v>10</v>
      </c>
      <c r="F36" s="10">
        <f t="shared" si="7"/>
        <v>1500</v>
      </c>
      <c r="G36" s="10">
        <f t="shared" si="8"/>
        <v>1000</v>
      </c>
      <c r="H36" s="10">
        <f t="shared" si="9"/>
        <v>500</v>
      </c>
    </row>
    <row r="37" spans="1:13" ht="13.5" customHeight="1" thickBot="1" x14ac:dyDescent="0.35">
      <c r="B37" s="9" t="s">
        <v>60</v>
      </c>
      <c r="C37" s="10">
        <f>$C$3-SUM(C34:C36)</f>
        <v>327</v>
      </c>
      <c r="D37" s="9">
        <v>15</v>
      </c>
      <c r="E37" s="9">
        <v>15</v>
      </c>
      <c r="F37" s="10">
        <f t="shared" ref="F37" si="10">C37*D37</f>
        <v>4905</v>
      </c>
      <c r="G37" s="10">
        <f t="shared" ref="G37" si="11">C37*E37</f>
        <v>4905</v>
      </c>
      <c r="H37" s="10">
        <f t="shared" ref="H37" si="12">F37-G37</f>
        <v>0</v>
      </c>
    </row>
    <row r="38" spans="1:13" s="14" customFormat="1" ht="13.5" customHeight="1" thickBot="1" x14ac:dyDescent="0.35">
      <c r="B38" s="12" t="s">
        <v>7</v>
      </c>
      <c r="C38" s="13">
        <f>SUM(C34:C37)</f>
        <v>500</v>
      </c>
      <c r="D38" s="12"/>
      <c r="E38" s="12"/>
      <c r="F38" s="13">
        <f>SUM(F34:F37)</f>
        <v>7500</v>
      </c>
      <c r="G38" s="13">
        <f t="shared" ref="G38:H38" si="13">SUM(G34:G37)</f>
        <v>5905</v>
      </c>
      <c r="H38" s="13">
        <f t="shared" si="13"/>
        <v>1595</v>
      </c>
      <c r="M38" s="16"/>
    </row>
    <row r="41" spans="1:13" ht="13.5" customHeight="1" x14ac:dyDescent="0.3">
      <c r="A41" s="6">
        <f>A30+1</f>
        <v>4</v>
      </c>
      <c r="B41" s="6" t="str">
        <f>CONCATENATE("Table ",A41)</f>
        <v>Table 4</v>
      </c>
      <c r="C41" s="6" t="s">
        <v>31</v>
      </c>
      <c r="D41" s="2"/>
    </row>
    <row r="42" spans="1:13" ht="13.5" customHeight="1" thickBot="1" x14ac:dyDescent="0.35">
      <c r="F42" s="2">
        <f>(D46-C46)*(1/E46)</f>
        <v>15</v>
      </c>
    </row>
    <row r="43" spans="1:13" ht="13.5" customHeight="1" thickBot="1" x14ac:dyDescent="0.35">
      <c r="B43" s="7" t="s">
        <v>17</v>
      </c>
      <c r="C43" s="7" t="s">
        <v>1</v>
      </c>
      <c r="D43" s="7" t="s">
        <v>8</v>
      </c>
      <c r="E43" s="7" t="s">
        <v>18</v>
      </c>
      <c r="F43" s="7" t="s">
        <v>19</v>
      </c>
      <c r="G43" s="17" t="s">
        <v>9</v>
      </c>
    </row>
    <row r="44" spans="1:13" ht="13.5" customHeight="1" thickBot="1" x14ac:dyDescent="0.35">
      <c r="B44" s="12"/>
      <c r="C44" s="13"/>
      <c r="D44" s="13"/>
      <c r="E44" s="12"/>
      <c r="F44" s="12"/>
      <c r="G44" s="18"/>
    </row>
    <row r="45" spans="1:13" ht="13.5" customHeight="1" thickBot="1" x14ac:dyDescent="0.35">
      <c r="B45" s="9" t="s">
        <v>4</v>
      </c>
      <c r="C45" s="10">
        <v>5</v>
      </c>
      <c r="D45" s="10">
        <v>15</v>
      </c>
      <c r="E45" s="3">
        <f>$E$24</f>
        <v>0.75</v>
      </c>
      <c r="F45" s="3">
        <f>$F$42</f>
        <v>15</v>
      </c>
      <c r="G45" s="4">
        <f>D45-(E45*F45)</f>
        <v>3.75</v>
      </c>
    </row>
    <row r="46" spans="1:13" ht="13.5" customHeight="1" thickBot="1" x14ac:dyDescent="0.35">
      <c r="B46" s="9" t="s">
        <v>5</v>
      </c>
      <c r="C46" s="10">
        <v>0</v>
      </c>
      <c r="D46" s="10">
        <v>15</v>
      </c>
      <c r="E46" s="3">
        <f>$E$25</f>
        <v>1</v>
      </c>
      <c r="F46" s="3">
        <f t="shared" ref="F46:F47" si="14">$F$42</f>
        <v>15</v>
      </c>
      <c r="G46" s="4">
        <f t="shared" ref="G46:G47" si="15">D46-(E46*F46)</f>
        <v>0</v>
      </c>
    </row>
    <row r="47" spans="1:13" ht="13.5" customHeight="1" thickBot="1" x14ac:dyDescent="0.35">
      <c r="B47" s="9" t="s">
        <v>6</v>
      </c>
      <c r="C47" s="10">
        <v>10</v>
      </c>
      <c r="D47" s="10">
        <v>15</v>
      </c>
      <c r="E47" s="3">
        <f>$E$26</f>
        <v>0.3</v>
      </c>
      <c r="F47" s="3">
        <f t="shared" si="14"/>
        <v>15</v>
      </c>
      <c r="G47" s="4">
        <f t="shared" si="15"/>
        <v>10.5</v>
      </c>
    </row>
    <row r="51" spans="1:8" ht="13.5" customHeight="1" x14ac:dyDescent="0.3">
      <c r="A51" s="6">
        <f>A41+1</f>
        <v>5</v>
      </c>
      <c r="B51" s="6" t="str">
        <f>CONCATENATE("Table ",A51)</f>
        <v>Table 5</v>
      </c>
      <c r="C51" s="6" t="s">
        <v>54</v>
      </c>
    </row>
    <row r="52" spans="1:8" ht="13.5" customHeight="1" thickBot="1" x14ac:dyDescent="0.35">
      <c r="E52" s="6" t="s">
        <v>55</v>
      </c>
    </row>
    <row r="53" spans="1:8" ht="29.5" customHeight="1" thickBot="1" x14ac:dyDescent="0.35">
      <c r="A53" s="23"/>
      <c r="B53" s="7" t="s">
        <v>17</v>
      </c>
      <c r="C53" s="7" t="s">
        <v>20</v>
      </c>
      <c r="D53" s="7" t="s">
        <v>14</v>
      </c>
      <c r="E53" s="7" t="s">
        <v>56</v>
      </c>
      <c r="F53" s="7" t="s">
        <v>57</v>
      </c>
      <c r="G53" s="7" t="s">
        <v>58</v>
      </c>
      <c r="H53" s="7" t="s">
        <v>59</v>
      </c>
    </row>
    <row r="54" spans="1:8" ht="13.5" customHeight="1" thickBot="1" x14ac:dyDescent="0.35">
      <c r="B54" s="7"/>
      <c r="C54" s="13" t="s">
        <v>51</v>
      </c>
      <c r="D54" s="13" t="s">
        <v>51</v>
      </c>
      <c r="E54" s="13" t="s">
        <v>51</v>
      </c>
      <c r="F54" s="13" t="s">
        <v>51</v>
      </c>
      <c r="G54" s="13" t="s">
        <v>51</v>
      </c>
      <c r="H54" s="13" t="s">
        <v>51</v>
      </c>
    </row>
    <row r="55" spans="1:8" ht="13.5" customHeight="1" x14ac:dyDescent="0.3">
      <c r="B55" s="24" t="s">
        <v>10</v>
      </c>
      <c r="C55" s="25">
        <v>100</v>
      </c>
      <c r="D55" s="25">
        <v>4</v>
      </c>
      <c r="E55" s="24">
        <f>G69</f>
        <v>37.68292682926829</v>
      </c>
      <c r="F55" s="25">
        <f>G92</f>
        <v>36.5</v>
      </c>
      <c r="G55" s="25">
        <f>F115</f>
        <v>73</v>
      </c>
      <c r="H55" s="25">
        <f>H136</f>
        <v>3</v>
      </c>
    </row>
    <row r="56" spans="1:8" ht="13.5" customHeight="1" thickBot="1" x14ac:dyDescent="0.35">
      <c r="B56" s="9"/>
      <c r="C56" s="10"/>
      <c r="D56" s="10"/>
      <c r="E56" s="10">
        <f>E55-$D55</f>
        <v>33.68292682926829</v>
      </c>
      <c r="F56" s="10">
        <f>F55-$D55</f>
        <v>32.5</v>
      </c>
      <c r="G56" s="10">
        <f>G55-$D55</f>
        <v>69</v>
      </c>
      <c r="H56" s="10">
        <f>H55-$D55</f>
        <v>-1</v>
      </c>
    </row>
    <row r="57" spans="1:8" ht="13.5" customHeight="1" x14ac:dyDescent="0.3">
      <c r="B57" s="24" t="s">
        <v>11</v>
      </c>
      <c r="C57" s="25">
        <v>100</v>
      </c>
      <c r="D57" s="25">
        <v>100</v>
      </c>
      <c r="E57" s="24">
        <f>G70</f>
        <v>50.243902439024389</v>
      </c>
      <c r="F57" s="25">
        <f>G93</f>
        <v>36.5</v>
      </c>
      <c r="G57" s="25">
        <f>F116</f>
        <v>0</v>
      </c>
      <c r="H57" s="25">
        <f>H137</f>
        <v>100</v>
      </c>
    </row>
    <row r="58" spans="1:8" ht="13.5" customHeight="1" thickBot="1" x14ac:dyDescent="0.35">
      <c r="B58" s="9"/>
      <c r="C58" s="10"/>
      <c r="D58" s="10"/>
      <c r="E58" s="10">
        <f>E57-$D57</f>
        <v>-49.756097560975611</v>
      </c>
      <c r="F58" s="10">
        <f>F57-$D57</f>
        <v>-63.5</v>
      </c>
      <c r="G58" s="10">
        <f>G57-$D57</f>
        <v>-100</v>
      </c>
      <c r="H58" s="10">
        <f>H57-$D57</f>
        <v>0</v>
      </c>
    </row>
    <row r="59" spans="1:8" ht="13.5" customHeight="1" x14ac:dyDescent="0.3">
      <c r="B59" s="24" t="s">
        <v>12</v>
      </c>
      <c r="C59" s="25">
        <v>100</v>
      </c>
      <c r="D59" s="25">
        <v>0</v>
      </c>
      <c r="E59" s="24">
        <f>G71</f>
        <v>15.073170731707316</v>
      </c>
      <c r="F59" s="25">
        <f>G94</f>
        <v>30</v>
      </c>
      <c r="G59" s="25">
        <f>F117</f>
        <v>30</v>
      </c>
      <c r="H59" s="25">
        <f>H138</f>
        <v>0</v>
      </c>
    </row>
    <row r="60" spans="1:8" ht="13.5" customHeight="1" thickBot="1" x14ac:dyDescent="0.35">
      <c r="B60" s="9"/>
      <c r="C60" s="10"/>
      <c r="D60" s="10"/>
      <c r="E60" s="10">
        <f>E59-$D59</f>
        <v>15.073170731707316</v>
      </c>
      <c r="F60" s="10">
        <f>F59-$D59</f>
        <v>30</v>
      </c>
      <c r="G60" s="10">
        <f>G59-$D59</f>
        <v>30</v>
      </c>
      <c r="H60" s="10">
        <f>H59-$D59</f>
        <v>0</v>
      </c>
    </row>
    <row r="61" spans="1:8" ht="13.5" customHeight="1" thickBot="1" x14ac:dyDescent="0.35">
      <c r="B61" s="12" t="s">
        <v>7</v>
      </c>
      <c r="C61" s="13">
        <f>SUM(C55:C59)</f>
        <v>300</v>
      </c>
      <c r="D61" s="13"/>
      <c r="E61" s="13">
        <f>SUM(E55,E57,E59)</f>
        <v>103</v>
      </c>
      <c r="F61" s="13">
        <f t="shared" ref="F61:H61" si="16">SUM(F55,F57,F59)</f>
        <v>103</v>
      </c>
      <c r="G61" s="13">
        <f t="shared" si="16"/>
        <v>103</v>
      </c>
      <c r="H61" s="13">
        <f t="shared" si="16"/>
        <v>103</v>
      </c>
    </row>
    <row r="65" spans="1:13" ht="13.5" customHeight="1" x14ac:dyDescent="0.3">
      <c r="A65" s="6">
        <f>A51+1</f>
        <v>6</v>
      </c>
      <c r="B65" s="6" t="str">
        <f>CONCATENATE("Table ",A65)</f>
        <v>Table 6</v>
      </c>
      <c r="C65" s="6" t="s">
        <v>33</v>
      </c>
    </row>
    <row r="66" spans="1:13" ht="13.5" customHeight="1" thickBot="1" x14ac:dyDescent="0.35">
      <c r="C66" s="21" t="s">
        <v>38</v>
      </c>
      <c r="D66" s="2">
        <v>0.5024390243902439</v>
      </c>
    </row>
    <row r="67" spans="1:13" ht="13.5" customHeight="1" thickBot="1" x14ac:dyDescent="0.35">
      <c r="B67" s="7" t="s">
        <v>17</v>
      </c>
      <c r="C67" s="7" t="s">
        <v>20</v>
      </c>
      <c r="D67" s="7" t="s">
        <v>22</v>
      </c>
      <c r="E67" s="7" t="s">
        <v>25</v>
      </c>
      <c r="F67" s="7" t="s">
        <v>18</v>
      </c>
      <c r="G67" s="7" t="s">
        <v>23</v>
      </c>
    </row>
    <row r="68" spans="1:13" ht="13.5" customHeight="1" thickBot="1" x14ac:dyDescent="0.35">
      <c r="B68" s="12"/>
      <c r="C68" s="13"/>
      <c r="D68" s="13"/>
      <c r="E68" s="13" t="s">
        <v>24</v>
      </c>
      <c r="F68" s="13"/>
      <c r="G68" s="13" t="s">
        <v>26</v>
      </c>
    </row>
    <row r="69" spans="1:13" ht="13.5" customHeight="1" thickBot="1" x14ac:dyDescent="0.35">
      <c r="B69" s="9" t="s">
        <v>10</v>
      </c>
      <c r="C69" s="10">
        <v>100</v>
      </c>
      <c r="D69" s="4">
        <f>$D$66</f>
        <v>0.5024390243902439</v>
      </c>
      <c r="E69" s="10">
        <f>C69*D69</f>
        <v>50.243902439024389</v>
      </c>
      <c r="F69" s="3">
        <f>$E$24</f>
        <v>0.75</v>
      </c>
      <c r="G69" s="10">
        <f>E69*F69</f>
        <v>37.68292682926829</v>
      </c>
    </row>
    <row r="70" spans="1:13" ht="13.5" customHeight="1" thickBot="1" x14ac:dyDescent="0.35">
      <c r="B70" s="9" t="s">
        <v>11</v>
      </c>
      <c r="C70" s="10">
        <v>100</v>
      </c>
      <c r="D70" s="4">
        <f>$D$66</f>
        <v>0.5024390243902439</v>
      </c>
      <c r="E70" s="10">
        <f t="shared" ref="E70:E71" si="17">C70*D70</f>
        <v>50.243902439024389</v>
      </c>
      <c r="F70" s="3">
        <f>$E$25</f>
        <v>1</v>
      </c>
      <c r="G70" s="10">
        <f t="shared" ref="G70:G71" si="18">E70*F70</f>
        <v>50.243902439024389</v>
      </c>
    </row>
    <row r="71" spans="1:13" ht="13.5" customHeight="1" thickBot="1" x14ac:dyDescent="0.35">
      <c r="B71" s="9" t="s">
        <v>12</v>
      </c>
      <c r="C71" s="10">
        <v>100</v>
      </c>
      <c r="D71" s="4">
        <f>$D$66</f>
        <v>0.5024390243902439</v>
      </c>
      <c r="E71" s="10">
        <f t="shared" si="17"/>
        <v>50.243902439024389</v>
      </c>
      <c r="F71" s="3">
        <f>$E$26</f>
        <v>0.3</v>
      </c>
      <c r="G71" s="10">
        <f t="shared" si="18"/>
        <v>15.073170731707316</v>
      </c>
    </row>
    <row r="72" spans="1:13" ht="13.5" customHeight="1" thickBot="1" x14ac:dyDescent="0.35">
      <c r="B72" s="12" t="s">
        <v>7</v>
      </c>
      <c r="C72" s="13">
        <f>SUM(C69:C71)</f>
        <v>300</v>
      </c>
      <c r="D72" s="13"/>
      <c r="E72" s="13">
        <f>SUM(E69:E71)</f>
        <v>150.73170731707316</v>
      </c>
      <c r="F72" s="13"/>
      <c r="G72" s="13">
        <f>SUM(G69:G71)</f>
        <v>103</v>
      </c>
      <c r="H72" s="6" t="s">
        <v>38</v>
      </c>
    </row>
    <row r="76" spans="1:13" ht="13.5" customHeight="1" x14ac:dyDescent="0.3">
      <c r="A76" s="6">
        <f>A65+1</f>
        <v>7</v>
      </c>
      <c r="B76" s="6" t="str">
        <f>CONCATENATE("Table ",A76)</f>
        <v>Table 7</v>
      </c>
      <c r="C76" s="6" t="s">
        <v>34</v>
      </c>
    </row>
    <row r="77" spans="1:13" ht="13.5" customHeight="1" thickBot="1" x14ac:dyDescent="0.35"/>
    <row r="78" spans="1:13" ht="13.5" customHeight="1" thickBot="1" x14ac:dyDescent="0.35">
      <c r="B78" s="7" t="s">
        <v>17</v>
      </c>
      <c r="C78" s="7" t="s">
        <v>18</v>
      </c>
      <c r="D78" s="8" t="s">
        <v>14</v>
      </c>
      <c r="E78" s="8" t="s">
        <v>23</v>
      </c>
      <c r="F78" s="8" t="s">
        <v>8</v>
      </c>
      <c r="G78" s="8" t="s">
        <v>9</v>
      </c>
      <c r="H78" s="8" t="s">
        <v>1</v>
      </c>
      <c r="I78" s="8" t="s">
        <v>15</v>
      </c>
      <c r="J78" s="8" t="s">
        <v>21</v>
      </c>
      <c r="K78" s="8" t="s">
        <v>27</v>
      </c>
      <c r="L78" s="8" t="s">
        <v>28</v>
      </c>
      <c r="M78" s="19" t="s">
        <v>2</v>
      </c>
    </row>
    <row r="79" spans="1:13" ht="13.5" customHeight="1" thickBot="1" x14ac:dyDescent="0.35">
      <c r="B79" s="9" t="s">
        <v>10</v>
      </c>
      <c r="C79" s="3">
        <f>$E$24</f>
        <v>0.75</v>
      </c>
      <c r="D79" s="10">
        <v>4</v>
      </c>
      <c r="E79" s="10">
        <f>G69</f>
        <v>37.68292682926829</v>
      </c>
      <c r="F79" s="10">
        <v>15</v>
      </c>
      <c r="G79" s="4">
        <f>G45</f>
        <v>3.75</v>
      </c>
      <c r="H79" s="10">
        <v>5</v>
      </c>
      <c r="I79" s="10">
        <f>D79*F79</f>
        <v>60</v>
      </c>
      <c r="J79" s="10">
        <f>D79*(F79-G79)</f>
        <v>45</v>
      </c>
      <c r="K79" s="10">
        <f>E79*(F79-G79)/C79</f>
        <v>565.24390243902428</v>
      </c>
      <c r="L79" s="10">
        <f>D79*H79</f>
        <v>20</v>
      </c>
      <c r="M79" s="10">
        <f>I79-J79+K79-L79</f>
        <v>560.24390243902428</v>
      </c>
    </row>
    <row r="80" spans="1:13" ht="13.5" customHeight="1" thickBot="1" x14ac:dyDescent="0.35">
      <c r="B80" s="9" t="s">
        <v>11</v>
      </c>
      <c r="C80" s="3">
        <f>$E$25</f>
        <v>1</v>
      </c>
      <c r="D80" s="10">
        <v>100</v>
      </c>
      <c r="E80" s="10">
        <f>G70</f>
        <v>50.243902439024389</v>
      </c>
      <c r="F80" s="10">
        <v>15</v>
      </c>
      <c r="G80" s="4">
        <f>G46</f>
        <v>0</v>
      </c>
      <c r="H80" s="10">
        <v>0</v>
      </c>
      <c r="I80" s="10">
        <f>D80*F80</f>
        <v>1500</v>
      </c>
      <c r="J80" s="10">
        <f>D80*(F80-G80)</f>
        <v>1500</v>
      </c>
      <c r="K80" s="10">
        <f t="shared" ref="K80:K81" si="19">E80*(F80-G80)/C80</f>
        <v>753.65853658536582</v>
      </c>
      <c r="L80" s="10">
        <f>D80*H80</f>
        <v>0</v>
      </c>
      <c r="M80" s="10">
        <f t="shared" ref="M80:M81" si="20">I80-J80+K80-L80</f>
        <v>753.65853658536582</v>
      </c>
    </row>
    <row r="81" spans="1:13" ht="13.5" customHeight="1" thickBot="1" x14ac:dyDescent="0.35">
      <c r="B81" s="9" t="s">
        <v>12</v>
      </c>
      <c r="C81" s="3">
        <f>$E$26</f>
        <v>0.3</v>
      </c>
      <c r="D81" s="10">
        <v>0</v>
      </c>
      <c r="E81" s="10">
        <f>G71</f>
        <v>15.073170731707316</v>
      </c>
      <c r="F81" s="10">
        <v>15</v>
      </c>
      <c r="G81" s="4">
        <f>G47</f>
        <v>10.5</v>
      </c>
      <c r="H81" s="10">
        <v>10</v>
      </c>
      <c r="I81" s="10">
        <f>D81*F81</f>
        <v>0</v>
      </c>
      <c r="J81" s="10">
        <f>D81*(F81-G81)</f>
        <v>0</v>
      </c>
      <c r="K81" s="10">
        <f t="shared" si="19"/>
        <v>226.09756097560975</v>
      </c>
      <c r="L81" s="10">
        <f>D81*H81</f>
        <v>0</v>
      </c>
      <c r="M81" s="10">
        <f t="shared" si="20"/>
        <v>226.09756097560975</v>
      </c>
    </row>
    <row r="82" spans="1:13" ht="13.5" customHeight="1" thickBot="1" x14ac:dyDescent="0.35">
      <c r="B82" s="9" t="s">
        <v>61</v>
      </c>
      <c r="C82" s="3">
        <v>1</v>
      </c>
      <c r="D82" s="10">
        <f>$C$3-SUM(D79:D81)</f>
        <v>396</v>
      </c>
      <c r="E82" s="10">
        <v>0</v>
      </c>
      <c r="F82" s="10">
        <v>15</v>
      </c>
      <c r="G82" s="4">
        <v>15</v>
      </c>
      <c r="H82" s="10">
        <v>15</v>
      </c>
      <c r="I82" s="10">
        <f>D82*F82</f>
        <v>5940</v>
      </c>
      <c r="J82" s="10">
        <f>D82*(F82-G82)</f>
        <v>0</v>
      </c>
      <c r="K82" s="10">
        <f t="shared" ref="K82" si="21">E82*(F82-G82)/C82</f>
        <v>0</v>
      </c>
      <c r="L82" s="10">
        <f>D82*H82</f>
        <v>5940</v>
      </c>
      <c r="M82" s="10">
        <f t="shared" ref="M82" si="22">I82-J82+K82-L82</f>
        <v>0</v>
      </c>
    </row>
    <row r="83" spans="1:13" s="14" customFormat="1" ht="13.5" customHeight="1" thickBot="1" x14ac:dyDescent="0.35">
      <c r="B83" s="12" t="s">
        <v>7</v>
      </c>
      <c r="C83" s="12"/>
      <c r="D83" s="13">
        <f>SUM(D79:D82)</f>
        <v>500</v>
      </c>
      <c r="E83" s="13"/>
      <c r="F83" s="13"/>
      <c r="G83" s="13"/>
      <c r="H83" s="13"/>
      <c r="I83" s="13">
        <f>SUM(I79:I82)</f>
        <v>7500</v>
      </c>
      <c r="J83" s="13">
        <f t="shared" ref="J83:M83" si="23">SUM(J79:J82)</f>
        <v>1545</v>
      </c>
      <c r="K83" s="13">
        <f t="shared" si="23"/>
        <v>1544.9999999999998</v>
      </c>
      <c r="L83" s="13">
        <f t="shared" si="23"/>
        <v>5960</v>
      </c>
      <c r="M83" s="13">
        <f t="shared" si="23"/>
        <v>1539.9999999999998</v>
      </c>
    </row>
    <row r="84" spans="1:13" ht="13.5" customHeight="1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3.5" customHeight="1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20"/>
    </row>
    <row r="86" spans="1:13" ht="13.5" customHeight="1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20"/>
    </row>
    <row r="87" spans="1:13" ht="13.5" customHeight="1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20"/>
    </row>
    <row r="88" spans="1:13" ht="13.5" customHeight="1" x14ac:dyDescent="0.3">
      <c r="A88" s="6">
        <f>A76+1</f>
        <v>8</v>
      </c>
      <c r="B88" s="6" t="str">
        <f>CONCATENATE("Table ",A88)</f>
        <v>Table 8</v>
      </c>
      <c r="C88" s="6" t="s">
        <v>33</v>
      </c>
      <c r="M88" s="6"/>
    </row>
    <row r="89" spans="1:13" ht="13.5" customHeight="1" thickBot="1" x14ac:dyDescent="0.35">
      <c r="C89" s="21" t="s">
        <v>38</v>
      </c>
      <c r="D89" s="2">
        <v>0.36499999999999999</v>
      </c>
      <c r="M89" s="6"/>
    </row>
    <row r="90" spans="1:13" ht="13.5" customHeight="1" thickBot="1" x14ac:dyDescent="0.35">
      <c r="B90" s="7" t="s">
        <v>17</v>
      </c>
      <c r="C90" s="7" t="s">
        <v>20</v>
      </c>
      <c r="D90" s="7" t="s">
        <v>22</v>
      </c>
      <c r="E90" s="7" t="s">
        <v>25</v>
      </c>
      <c r="F90" s="7" t="s">
        <v>18</v>
      </c>
      <c r="G90" s="7" t="s">
        <v>23</v>
      </c>
      <c r="M90" s="6"/>
    </row>
    <row r="91" spans="1:13" ht="13.5" customHeight="1" thickBot="1" x14ac:dyDescent="0.35">
      <c r="B91" s="12"/>
      <c r="C91" s="13"/>
      <c r="D91" s="13"/>
      <c r="E91" s="13" t="s">
        <v>29</v>
      </c>
      <c r="F91" s="13"/>
      <c r="G91" s="13" t="s">
        <v>37</v>
      </c>
      <c r="M91" s="6"/>
    </row>
    <row r="92" spans="1:13" ht="13.5" customHeight="1" thickBot="1" x14ac:dyDescent="0.35">
      <c r="B92" s="9" t="s">
        <v>10</v>
      </c>
      <c r="C92" s="10">
        <v>100</v>
      </c>
      <c r="D92" s="4">
        <f>$D$89</f>
        <v>0.36499999999999999</v>
      </c>
      <c r="E92" s="10">
        <f>C92*D92</f>
        <v>36.5</v>
      </c>
      <c r="F92" s="3">
        <f>$E$24</f>
        <v>0.75</v>
      </c>
      <c r="G92" s="10">
        <f>MIN(E92,C92*F92)</f>
        <v>36.5</v>
      </c>
      <c r="M92" s="6"/>
    </row>
    <row r="93" spans="1:13" ht="13.5" customHeight="1" thickBot="1" x14ac:dyDescent="0.35">
      <c r="B93" s="9" t="s">
        <v>11</v>
      </c>
      <c r="C93" s="10">
        <v>100</v>
      </c>
      <c r="D93" s="4">
        <f>$D$89</f>
        <v>0.36499999999999999</v>
      </c>
      <c r="E93" s="10">
        <f t="shared" ref="E93:E94" si="24">C93*D93</f>
        <v>36.5</v>
      </c>
      <c r="F93" s="3">
        <f>$E$25</f>
        <v>1</v>
      </c>
      <c r="G93" s="10">
        <f t="shared" ref="G93:G94" si="25">MIN(E93,C93*F93)</f>
        <v>36.5</v>
      </c>
      <c r="M93" s="6"/>
    </row>
    <row r="94" spans="1:13" ht="13.5" customHeight="1" thickBot="1" x14ac:dyDescent="0.35">
      <c r="B94" s="9" t="s">
        <v>12</v>
      </c>
      <c r="C94" s="10">
        <v>100</v>
      </c>
      <c r="D94" s="4">
        <f>$D$89</f>
        <v>0.36499999999999999</v>
      </c>
      <c r="E94" s="10">
        <f t="shared" si="24"/>
        <v>36.5</v>
      </c>
      <c r="F94" s="3">
        <f>$E$26</f>
        <v>0.3</v>
      </c>
      <c r="G94" s="10">
        <f t="shared" si="25"/>
        <v>30</v>
      </c>
      <c r="M94" s="6"/>
    </row>
    <row r="95" spans="1:13" ht="13.5" customHeight="1" thickBot="1" x14ac:dyDescent="0.35">
      <c r="B95" s="12" t="s">
        <v>7</v>
      </c>
      <c r="C95" s="13">
        <f>SUM(C92:C94)</f>
        <v>300</v>
      </c>
      <c r="D95" s="13"/>
      <c r="E95" s="13">
        <f>SUM(E92:E94)</f>
        <v>109.5</v>
      </c>
      <c r="F95" s="13"/>
      <c r="G95" s="13">
        <f>SUM(G92:G94)</f>
        <v>103</v>
      </c>
      <c r="H95" s="6" t="s">
        <v>38</v>
      </c>
      <c r="M95" s="6"/>
    </row>
    <row r="96" spans="1:13" ht="13.5" customHeight="1" x14ac:dyDescent="0.3">
      <c r="M96" s="6"/>
    </row>
    <row r="97" spans="1:13" ht="13.5" customHeight="1" x14ac:dyDescent="0.3">
      <c r="M97" s="6"/>
    </row>
    <row r="99" spans="1:13" ht="13.5" customHeight="1" x14ac:dyDescent="0.3">
      <c r="A99" s="6">
        <f>A88+1</f>
        <v>9</v>
      </c>
      <c r="B99" s="6" t="str">
        <f>CONCATENATE("Table ",A99)</f>
        <v>Table 9</v>
      </c>
      <c r="C99" s="6" t="s">
        <v>35</v>
      </c>
    </row>
    <row r="100" spans="1:13" ht="13.5" customHeight="1" thickBot="1" x14ac:dyDescent="0.35"/>
    <row r="101" spans="1:13" ht="13.5" customHeight="1" thickBot="1" x14ac:dyDescent="0.35">
      <c r="B101" s="7" t="s">
        <v>17</v>
      </c>
      <c r="C101" s="7" t="s">
        <v>18</v>
      </c>
      <c r="D101" s="8" t="s">
        <v>14</v>
      </c>
      <c r="E101" s="8" t="s">
        <v>23</v>
      </c>
      <c r="F101" s="8" t="s">
        <v>8</v>
      </c>
      <c r="G101" s="8" t="s">
        <v>9</v>
      </c>
      <c r="H101" s="8" t="s">
        <v>1</v>
      </c>
      <c r="I101" s="8" t="s">
        <v>15</v>
      </c>
      <c r="J101" s="8" t="s">
        <v>21</v>
      </c>
      <c r="K101" s="8" t="s">
        <v>27</v>
      </c>
      <c r="L101" s="8" t="s">
        <v>28</v>
      </c>
      <c r="M101" s="19" t="s">
        <v>2</v>
      </c>
    </row>
    <row r="102" spans="1:13" ht="13.5" customHeight="1" thickBot="1" x14ac:dyDescent="0.35">
      <c r="B102" s="9" t="s">
        <v>10</v>
      </c>
      <c r="C102" s="3">
        <f>$E$24</f>
        <v>0.75</v>
      </c>
      <c r="D102" s="10">
        <v>4</v>
      </c>
      <c r="E102" s="10">
        <f>G92</f>
        <v>36.5</v>
      </c>
      <c r="F102" s="10">
        <v>15</v>
      </c>
      <c r="G102" s="10">
        <f>$G$45</f>
        <v>3.75</v>
      </c>
      <c r="H102" s="10">
        <v>5</v>
      </c>
      <c r="I102" s="10">
        <f>D102*F102</f>
        <v>60</v>
      </c>
      <c r="J102" s="10">
        <f>D102*(F102-G102)</f>
        <v>45</v>
      </c>
      <c r="K102" s="10">
        <f>E102*(F102-G102)/C102</f>
        <v>547.5</v>
      </c>
      <c r="L102" s="10">
        <f>D102*H102</f>
        <v>20</v>
      </c>
      <c r="M102" s="10">
        <f>I102-J102+K102-L102</f>
        <v>542.5</v>
      </c>
    </row>
    <row r="103" spans="1:13" ht="13.5" customHeight="1" thickBot="1" x14ac:dyDescent="0.35">
      <c r="B103" s="9" t="s">
        <v>11</v>
      </c>
      <c r="C103" s="3">
        <f>$E$25</f>
        <v>1</v>
      </c>
      <c r="D103" s="10">
        <v>100</v>
      </c>
      <c r="E103" s="10">
        <f>G93</f>
        <v>36.5</v>
      </c>
      <c r="F103" s="10">
        <v>15</v>
      </c>
      <c r="G103" s="4">
        <f>$G$46</f>
        <v>0</v>
      </c>
      <c r="H103" s="10">
        <v>0</v>
      </c>
      <c r="I103" s="10">
        <f>D103*F103</f>
        <v>1500</v>
      </c>
      <c r="J103" s="10">
        <f>D103*(F103-G103)</f>
        <v>1500</v>
      </c>
      <c r="K103" s="10">
        <f t="shared" ref="K103:K104" si="26">E103*(F103-G103)/C103</f>
        <v>547.5</v>
      </c>
      <c r="L103" s="10">
        <f>D103*H103</f>
        <v>0</v>
      </c>
      <c r="M103" s="10">
        <f t="shared" ref="M103:M104" si="27">I103-J103+K103-L103</f>
        <v>547.5</v>
      </c>
    </row>
    <row r="104" spans="1:13" ht="13.5" customHeight="1" thickBot="1" x14ac:dyDescent="0.35">
      <c r="B104" s="9" t="s">
        <v>12</v>
      </c>
      <c r="C104" s="3">
        <f>$E$26</f>
        <v>0.3</v>
      </c>
      <c r="D104" s="10">
        <v>0</v>
      </c>
      <c r="E104" s="10">
        <f>G94</f>
        <v>30</v>
      </c>
      <c r="F104" s="10">
        <v>15</v>
      </c>
      <c r="G104" s="10">
        <f>$G$47</f>
        <v>10.5</v>
      </c>
      <c r="H104" s="10">
        <v>10</v>
      </c>
      <c r="I104" s="10">
        <f>D104*F104</f>
        <v>0</v>
      </c>
      <c r="J104" s="10">
        <f>D104*(F104-G104)</f>
        <v>0</v>
      </c>
      <c r="K104" s="10">
        <f t="shared" si="26"/>
        <v>450</v>
      </c>
      <c r="L104" s="10">
        <f>D104*H104</f>
        <v>0</v>
      </c>
      <c r="M104" s="10">
        <f t="shared" si="27"/>
        <v>450</v>
      </c>
    </row>
    <row r="105" spans="1:13" ht="13.5" customHeight="1" thickBot="1" x14ac:dyDescent="0.35">
      <c r="B105" s="9" t="s">
        <v>61</v>
      </c>
      <c r="C105" s="3">
        <v>1</v>
      </c>
      <c r="D105" s="10">
        <f>250-SUM(D102:D104)</f>
        <v>146</v>
      </c>
      <c r="E105" s="10">
        <v>0</v>
      </c>
      <c r="F105" s="10">
        <v>15</v>
      </c>
      <c r="G105" s="10">
        <v>15</v>
      </c>
      <c r="H105" s="10">
        <v>10</v>
      </c>
      <c r="I105" s="10">
        <f>D105*F105</f>
        <v>2190</v>
      </c>
      <c r="J105" s="10">
        <f>D105*(F105-G105)</f>
        <v>0</v>
      </c>
      <c r="K105" s="10">
        <f t="shared" ref="K105" si="28">E105*(F105-G105)/C105</f>
        <v>0</v>
      </c>
      <c r="L105" s="10">
        <f>D105*H105</f>
        <v>1460</v>
      </c>
      <c r="M105" s="10">
        <f t="shared" ref="M105" si="29">I105-J105+K105-L105</f>
        <v>730</v>
      </c>
    </row>
    <row r="106" spans="1:13" s="14" customFormat="1" ht="13.5" customHeight="1" thickBot="1" x14ac:dyDescent="0.35">
      <c r="B106" s="12" t="s">
        <v>7</v>
      </c>
      <c r="C106" s="12"/>
      <c r="D106" s="13">
        <f>SUM(D102:D105)</f>
        <v>250</v>
      </c>
      <c r="E106" s="13"/>
      <c r="F106" s="13"/>
      <c r="G106" s="13"/>
      <c r="H106" s="13"/>
      <c r="I106" s="13">
        <f>SUM(I102:I105)</f>
        <v>3750</v>
      </c>
      <c r="J106" s="13">
        <f t="shared" ref="J106:M106" si="30">SUM(J102:J105)</f>
        <v>1545</v>
      </c>
      <c r="K106" s="13">
        <f t="shared" si="30"/>
        <v>1545</v>
      </c>
      <c r="L106" s="13">
        <f t="shared" si="30"/>
        <v>1480</v>
      </c>
      <c r="M106" s="13">
        <f t="shared" si="30"/>
        <v>2270</v>
      </c>
    </row>
    <row r="107" spans="1:13" ht="13.5" customHeight="1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20"/>
    </row>
    <row r="108" spans="1:13" ht="13.5" customHeight="1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20"/>
    </row>
    <row r="109" spans="1:13" ht="13.5" customHeight="1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20"/>
    </row>
    <row r="110" spans="1:13" ht="13.5" customHeight="1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20"/>
    </row>
    <row r="111" spans="1:13" ht="13.5" customHeight="1" x14ac:dyDescent="0.3">
      <c r="A111" s="6">
        <f>A99+1</f>
        <v>10</v>
      </c>
      <c r="B111" s="6" t="str">
        <f>CONCATENATE("Table ",A111)</f>
        <v>Table 10</v>
      </c>
      <c r="C111" s="6" t="s">
        <v>39</v>
      </c>
      <c r="M111" s="6"/>
    </row>
    <row r="112" spans="1:13" ht="13.5" customHeight="1" thickBot="1" x14ac:dyDescent="0.35">
      <c r="D112" s="2"/>
      <c r="E112" s="2"/>
      <c r="M112" s="6"/>
    </row>
    <row r="113" spans="1:13" ht="13.5" customHeight="1" thickBot="1" x14ac:dyDescent="0.35">
      <c r="B113" s="7" t="s">
        <v>17</v>
      </c>
      <c r="C113" s="7" t="s">
        <v>20</v>
      </c>
      <c r="D113" s="7" t="s">
        <v>25</v>
      </c>
      <c r="E113" s="7" t="s">
        <v>18</v>
      </c>
      <c r="F113" s="7" t="s">
        <v>23</v>
      </c>
      <c r="M113" s="6"/>
    </row>
    <row r="114" spans="1:13" ht="13.5" customHeight="1" thickBot="1" x14ac:dyDescent="0.35">
      <c r="B114" s="7"/>
      <c r="C114" s="13"/>
      <c r="D114" s="13"/>
      <c r="E114" s="13"/>
      <c r="F114" s="13" t="s">
        <v>26</v>
      </c>
      <c r="M114" s="6"/>
    </row>
    <row r="115" spans="1:13" ht="13.5" customHeight="1" thickBot="1" x14ac:dyDescent="0.35">
      <c r="B115" s="9" t="s">
        <v>10</v>
      </c>
      <c r="C115" s="10">
        <v>100</v>
      </c>
      <c r="D115" s="10">
        <f>F115/E115</f>
        <v>97.333333333333329</v>
      </c>
      <c r="E115" s="3">
        <f>$E$24</f>
        <v>0.75</v>
      </c>
      <c r="F115" s="10">
        <f>C115*E115-2</f>
        <v>73</v>
      </c>
      <c r="M115" s="6"/>
    </row>
    <row r="116" spans="1:13" ht="13.5" customHeight="1" thickBot="1" x14ac:dyDescent="0.35">
      <c r="B116" s="9" t="s">
        <v>11</v>
      </c>
      <c r="C116" s="10">
        <v>100</v>
      </c>
      <c r="D116" s="10">
        <f t="shared" ref="D116:D117" si="31">F116/E116</f>
        <v>0</v>
      </c>
      <c r="E116" s="3">
        <f>$E$25</f>
        <v>1</v>
      </c>
      <c r="F116" s="10">
        <v>0</v>
      </c>
      <c r="M116" s="6"/>
    </row>
    <row r="117" spans="1:13" ht="13.5" customHeight="1" thickBot="1" x14ac:dyDescent="0.35">
      <c r="B117" s="9" t="s">
        <v>12</v>
      </c>
      <c r="C117" s="10">
        <v>100</v>
      </c>
      <c r="D117" s="10">
        <f t="shared" si="31"/>
        <v>100</v>
      </c>
      <c r="E117" s="3">
        <f>$E$26</f>
        <v>0.3</v>
      </c>
      <c r="F117" s="10">
        <f>C117*E117</f>
        <v>30</v>
      </c>
      <c r="M117" s="6"/>
    </row>
    <row r="118" spans="1:13" ht="13.5" customHeight="1" thickBot="1" x14ac:dyDescent="0.35">
      <c r="B118" s="12" t="s">
        <v>7</v>
      </c>
      <c r="C118" s="13">
        <f>SUM(C115:C117)</f>
        <v>300</v>
      </c>
      <c r="D118" s="13">
        <f>SUM(D115:D117)</f>
        <v>197.33333333333331</v>
      </c>
      <c r="E118" s="13"/>
      <c r="F118" s="13">
        <f>SUM(F115:F117)</f>
        <v>103</v>
      </c>
      <c r="M118" s="6"/>
    </row>
    <row r="119" spans="1:13" ht="13.5" customHeight="1" x14ac:dyDescent="0.3">
      <c r="M119" s="6"/>
    </row>
    <row r="120" spans="1:13" ht="13.5" customHeight="1" x14ac:dyDescent="0.3">
      <c r="M120" s="6"/>
    </row>
    <row r="122" spans="1:13" ht="13.5" customHeight="1" x14ac:dyDescent="0.3">
      <c r="A122" s="6">
        <f>A111+1</f>
        <v>11</v>
      </c>
      <c r="B122" s="6" t="str">
        <f>CONCATENATE("Table ",A122)</f>
        <v>Table 11</v>
      </c>
      <c r="C122" s="6" t="s">
        <v>36</v>
      </c>
    </row>
    <row r="123" spans="1:13" ht="13.5" customHeight="1" thickBot="1" x14ac:dyDescent="0.35"/>
    <row r="124" spans="1:13" ht="13.5" customHeight="1" thickBot="1" x14ac:dyDescent="0.35">
      <c r="B124" s="7" t="s">
        <v>17</v>
      </c>
      <c r="C124" s="7" t="s">
        <v>18</v>
      </c>
      <c r="D124" s="8" t="s">
        <v>14</v>
      </c>
      <c r="E124" s="8" t="s">
        <v>23</v>
      </c>
      <c r="F124" s="8" t="s">
        <v>8</v>
      </c>
      <c r="G124" s="8" t="s">
        <v>9</v>
      </c>
      <c r="H124" s="8" t="s">
        <v>1</v>
      </c>
      <c r="I124" s="8" t="s">
        <v>15</v>
      </c>
      <c r="J124" s="8" t="s">
        <v>21</v>
      </c>
      <c r="K124" s="8" t="s">
        <v>27</v>
      </c>
      <c r="L124" s="8" t="s">
        <v>28</v>
      </c>
      <c r="M124" s="19" t="s">
        <v>2</v>
      </c>
    </row>
    <row r="125" spans="1:13" ht="13.5" customHeight="1" thickBot="1" x14ac:dyDescent="0.35">
      <c r="B125" s="9" t="s">
        <v>10</v>
      </c>
      <c r="C125" s="3">
        <f>$E$24</f>
        <v>0.75</v>
      </c>
      <c r="D125" s="10">
        <f>$D$79</f>
        <v>4</v>
      </c>
      <c r="E125" s="10">
        <f>F115</f>
        <v>73</v>
      </c>
      <c r="F125" s="10">
        <v>15</v>
      </c>
      <c r="G125" s="4">
        <f>$G$45</f>
        <v>3.75</v>
      </c>
      <c r="H125" s="10">
        <v>5</v>
      </c>
      <c r="I125" s="10">
        <f>D125*F125</f>
        <v>60</v>
      </c>
      <c r="J125" s="10">
        <f>D125*(F125-G125)</f>
        <v>45</v>
      </c>
      <c r="K125" s="10">
        <f>E125*(F125-G125)/C125</f>
        <v>1095</v>
      </c>
      <c r="L125" s="10">
        <f>D125*H125</f>
        <v>20</v>
      </c>
      <c r="M125" s="10">
        <f>I125-J125+K125-L125</f>
        <v>1090</v>
      </c>
    </row>
    <row r="126" spans="1:13" ht="13.5" customHeight="1" thickBot="1" x14ac:dyDescent="0.35">
      <c r="B126" s="9" t="s">
        <v>11</v>
      </c>
      <c r="C126" s="3">
        <f>$E$25</f>
        <v>1</v>
      </c>
      <c r="D126" s="10">
        <f>$D$80</f>
        <v>100</v>
      </c>
      <c r="E126" s="10">
        <f>F116</f>
        <v>0</v>
      </c>
      <c r="F126" s="10">
        <v>15</v>
      </c>
      <c r="G126" s="4">
        <f>$G$46</f>
        <v>0</v>
      </c>
      <c r="H126" s="10">
        <v>0</v>
      </c>
      <c r="I126" s="10">
        <f>D126*F126</f>
        <v>1500</v>
      </c>
      <c r="J126" s="10">
        <f>D126*(F126-G126)</f>
        <v>1500</v>
      </c>
      <c r="K126" s="10">
        <f t="shared" ref="K126:K127" si="32">E126*(F126-G126)/C126</f>
        <v>0</v>
      </c>
      <c r="L126" s="10">
        <f>D126*H126</f>
        <v>0</v>
      </c>
      <c r="M126" s="10">
        <f t="shared" ref="M126:M127" si="33">I126-J126+K126-L126</f>
        <v>0</v>
      </c>
    </row>
    <row r="127" spans="1:13" ht="13.5" customHeight="1" thickBot="1" x14ac:dyDescent="0.35">
      <c r="B127" s="9" t="s">
        <v>12</v>
      </c>
      <c r="C127" s="3">
        <f>$E$26</f>
        <v>0.3</v>
      </c>
      <c r="D127" s="10">
        <f>$D$81</f>
        <v>0</v>
      </c>
      <c r="E127" s="10">
        <f>F117</f>
        <v>30</v>
      </c>
      <c r="F127" s="10">
        <v>15</v>
      </c>
      <c r="G127" s="4">
        <f>$G$47</f>
        <v>10.5</v>
      </c>
      <c r="H127" s="10">
        <v>10</v>
      </c>
      <c r="I127" s="10">
        <f>D127*F127</f>
        <v>0</v>
      </c>
      <c r="J127" s="10">
        <f>D127*(F127-G127)</f>
        <v>0</v>
      </c>
      <c r="K127" s="10">
        <f t="shared" si="32"/>
        <v>450</v>
      </c>
      <c r="L127" s="10">
        <f>D127*H127</f>
        <v>0</v>
      </c>
      <c r="M127" s="10">
        <f t="shared" si="33"/>
        <v>450</v>
      </c>
    </row>
    <row r="128" spans="1:13" s="14" customFormat="1" ht="13.5" customHeight="1" thickBot="1" x14ac:dyDescent="0.35">
      <c r="B128" s="12" t="s">
        <v>7</v>
      </c>
      <c r="C128" s="12"/>
      <c r="D128" s="13">
        <v>104</v>
      </c>
      <c r="E128" s="13"/>
      <c r="F128" s="13"/>
      <c r="G128" s="13"/>
      <c r="H128" s="13"/>
      <c r="I128" s="13">
        <f>SUM(I125:I127)</f>
        <v>1560</v>
      </c>
      <c r="J128" s="13">
        <f>SUM(J125:J127)</f>
        <v>1545</v>
      </c>
      <c r="K128" s="13">
        <f>SUM(K125:K127)</f>
        <v>1545</v>
      </c>
      <c r="L128" s="13">
        <f>SUM(L125:L127)</f>
        <v>20</v>
      </c>
      <c r="M128" s="13">
        <f>SUM(M125:M127)</f>
        <v>1540</v>
      </c>
    </row>
    <row r="129" spans="1:13" ht="13.5" customHeight="1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20"/>
    </row>
    <row r="130" spans="1:13" ht="13.5" customHeight="1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20"/>
    </row>
    <row r="131" spans="1:13" ht="13.5" customHeight="1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20"/>
    </row>
    <row r="132" spans="1:13" ht="13.5" customHeight="1" x14ac:dyDescent="0.3">
      <c r="A132" s="6">
        <f>A122+1</f>
        <v>12</v>
      </c>
      <c r="B132" s="6" t="str">
        <f>CONCATENATE("Table ",A132)</f>
        <v>Table 12</v>
      </c>
      <c r="C132" s="6" t="s">
        <v>40</v>
      </c>
    </row>
    <row r="133" spans="1:13" ht="13.5" customHeight="1" thickBot="1" x14ac:dyDescent="0.35"/>
    <row r="134" spans="1:13" ht="13.5" customHeight="1" thickBot="1" x14ac:dyDescent="0.35">
      <c r="B134" s="7" t="s">
        <v>17</v>
      </c>
      <c r="C134" s="7" t="s">
        <v>20</v>
      </c>
      <c r="D134" s="7" t="s">
        <v>8</v>
      </c>
      <c r="E134" s="7" t="s">
        <v>1</v>
      </c>
      <c r="F134" s="7" t="s">
        <v>25</v>
      </c>
      <c r="G134" s="7" t="s">
        <v>18</v>
      </c>
      <c r="H134" s="7" t="s">
        <v>23</v>
      </c>
      <c r="M134" s="6"/>
    </row>
    <row r="135" spans="1:13" ht="13.5" customHeight="1" thickBot="1" x14ac:dyDescent="0.35">
      <c r="B135" s="7"/>
      <c r="C135" s="13"/>
      <c r="D135" s="13"/>
      <c r="E135" s="13"/>
      <c r="F135" s="13"/>
      <c r="G135" s="13"/>
      <c r="H135" s="13"/>
      <c r="M135" s="6"/>
    </row>
    <row r="136" spans="1:13" ht="13.5" customHeight="1" thickBot="1" x14ac:dyDescent="0.35">
      <c r="B136" s="9" t="s">
        <v>10</v>
      </c>
      <c r="C136" s="10">
        <v>100</v>
      </c>
      <c r="D136" s="10">
        <v>15</v>
      </c>
      <c r="E136" s="10">
        <f>F13</f>
        <v>5</v>
      </c>
      <c r="F136" s="10">
        <f>H136/G136</f>
        <v>4</v>
      </c>
      <c r="G136" s="3">
        <f>$E$24</f>
        <v>0.75</v>
      </c>
      <c r="H136" s="10">
        <v>3</v>
      </c>
      <c r="M136" s="6"/>
    </row>
    <row r="137" spans="1:13" ht="13.5" customHeight="1" thickBot="1" x14ac:dyDescent="0.35">
      <c r="B137" s="9" t="s">
        <v>11</v>
      </c>
      <c r="C137" s="10">
        <v>100</v>
      </c>
      <c r="D137" s="10">
        <v>15</v>
      </c>
      <c r="E137" s="10">
        <f>F14</f>
        <v>0</v>
      </c>
      <c r="F137" s="10">
        <f>H137/G137</f>
        <v>100</v>
      </c>
      <c r="G137" s="3">
        <f>$E$25</f>
        <v>1</v>
      </c>
      <c r="H137" s="10">
        <v>100</v>
      </c>
      <c r="M137" s="6"/>
    </row>
    <row r="138" spans="1:13" ht="13.5" customHeight="1" thickBot="1" x14ac:dyDescent="0.35">
      <c r="B138" s="9" t="s">
        <v>12</v>
      </c>
      <c r="C138" s="10">
        <v>100</v>
      </c>
      <c r="D138" s="10">
        <v>15</v>
      </c>
      <c r="E138" s="10">
        <f>F15</f>
        <v>10</v>
      </c>
      <c r="F138" s="10">
        <f>H138/G138</f>
        <v>0</v>
      </c>
      <c r="G138" s="3">
        <f>$E$26</f>
        <v>0.3</v>
      </c>
      <c r="H138" s="10">
        <v>0</v>
      </c>
      <c r="M138" s="6"/>
    </row>
    <row r="139" spans="1:13" ht="13.5" customHeight="1" thickBot="1" x14ac:dyDescent="0.35">
      <c r="B139" s="12" t="s">
        <v>7</v>
      </c>
      <c r="C139" s="13">
        <f>SUM(C136:C138)</f>
        <v>300</v>
      </c>
      <c r="D139" s="13"/>
      <c r="E139" s="13">
        <f>SUM(E136:E138)</f>
        <v>15</v>
      </c>
      <c r="F139" s="13">
        <f>SUM(F136:F138)</f>
        <v>104</v>
      </c>
      <c r="G139" s="13"/>
      <c r="H139" s="13">
        <f>SUM(H136:H138)</f>
        <v>103</v>
      </c>
      <c r="M139" s="6"/>
    </row>
    <row r="140" spans="1:13" ht="13.5" customHeight="1" x14ac:dyDescent="0.3">
      <c r="M140" s="6"/>
    </row>
    <row r="141" spans="1:13" ht="13.5" customHeight="1" x14ac:dyDescent="0.3">
      <c r="M141" s="6"/>
    </row>
    <row r="143" spans="1:13" ht="13.5" customHeight="1" x14ac:dyDescent="0.3">
      <c r="A143" s="6">
        <f>A132+1</f>
        <v>13</v>
      </c>
      <c r="B143" s="6" t="str">
        <f>CONCATENATE("Table ",A143)</f>
        <v>Table 13</v>
      </c>
      <c r="C143" s="6" t="s">
        <v>42</v>
      </c>
    </row>
    <row r="144" spans="1:13" ht="13.5" customHeight="1" thickBot="1" x14ac:dyDescent="0.35"/>
    <row r="145" spans="1:13" ht="13.5" customHeight="1" thickBot="1" x14ac:dyDescent="0.35">
      <c r="B145" s="7" t="s">
        <v>17</v>
      </c>
      <c r="C145" s="7" t="s">
        <v>18</v>
      </c>
      <c r="D145" s="8" t="s">
        <v>14</v>
      </c>
      <c r="E145" s="8" t="s">
        <v>23</v>
      </c>
      <c r="F145" s="8" t="s">
        <v>8</v>
      </c>
      <c r="G145" s="8" t="s">
        <v>9</v>
      </c>
      <c r="H145" s="8" t="s">
        <v>1</v>
      </c>
      <c r="I145" s="8" t="s">
        <v>15</v>
      </c>
      <c r="J145" s="8" t="s">
        <v>21</v>
      </c>
      <c r="K145" s="8" t="s">
        <v>27</v>
      </c>
      <c r="L145" s="8" t="s">
        <v>28</v>
      </c>
      <c r="M145" s="19" t="s">
        <v>2</v>
      </c>
    </row>
    <row r="146" spans="1:13" ht="13.5" customHeight="1" thickBot="1" x14ac:dyDescent="0.35">
      <c r="B146" s="9" t="s">
        <v>10</v>
      </c>
      <c r="C146" s="3">
        <f>$E$24</f>
        <v>0.75</v>
      </c>
      <c r="D146" s="10">
        <f>$D$79</f>
        <v>4</v>
      </c>
      <c r="E146" s="10">
        <f>H136</f>
        <v>3</v>
      </c>
      <c r="F146" s="10">
        <v>15</v>
      </c>
      <c r="G146" s="4">
        <f>$G$45</f>
        <v>3.75</v>
      </c>
      <c r="H146" s="10">
        <v>5</v>
      </c>
      <c r="I146" s="10">
        <f>D146*F146</f>
        <v>60</v>
      </c>
      <c r="J146" s="10">
        <f>D146*(F146-G146)</f>
        <v>45</v>
      </c>
      <c r="K146" s="10">
        <f>E146*(F146-G146)/C146</f>
        <v>45</v>
      </c>
      <c r="L146" s="10">
        <f>D146*H146</f>
        <v>20</v>
      </c>
      <c r="M146" s="10">
        <f>I146-J146+K146-L146</f>
        <v>40</v>
      </c>
    </row>
    <row r="147" spans="1:13" ht="13.5" customHeight="1" thickBot="1" x14ac:dyDescent="0.35">
      <c r="B147" s="9" t="s">
        <v>11</v>
      </c>
      <c r="C147" s="3">
        <f>$E$25</f>
        <v>1</v>
      </c>
      <c r="D147" s="10">
        <f>$D$80</f>
        <v>100</v>
      </c>
      <c r="E147" s="10">
        <f>H137</f>
        <v>100</v>
      </c>
      <c r="F147" s="10">
        <v>15</v>
      </c>
      <c r="G147" s="4">
        <f>$G$46</f>
        <v>0</v>
      </c>
      <c r="H147" s="10">
        <v>0</v>
      </c>
      <c r="I147" s="10">
        <f>D147*F147</f>
        <v>1500</v>
      </c>
      <c r="J147" s="10">
        <f>D147*(F147-G147)</f>
        <v>1500</v>
      </c>
      <c r="K147" s="10">
        <f t="shared" ref="K147:K148" si="34">E147*(F147-G147)/C147</f>
        <v>1500</v>
      </c>
      <c r="L147" s="10">
        <f>D147*H147</f>
        <v>0</v>
      </c>
      <c r="M147" s="10">
        <f t="shared" ref="M147:M148" si="35">I147-J147+K147-L147</f>
        <v>1500</v>
      </c>
    </row>
    <row r="148" spans="1:13" ht="13.5" customHeight="1" thickBot="1" x14ac:dyDescent="0.35">
      <c r="B148" s="9" t="s">
        <v>12</v>
      </c>
      <c r="C148" s="3">
        <f>$E$26</f>
        <v>0.3</v>
      </c>
      <c r="D148" s="10">
        <f>$D$81</f>
        <v>0</v>
      </c>
      <c r="E148" s="10">
        <f>H138</f>
        <v>0</v>
      </c>
      <c r="F148" s="10">
        <v>15</v>
      </c>
      <c r="G148" s="4">
        <f>$G$47</f>
        <v>10.5</v>
      </c>
      <c r="H148" s="10">
        <v>10</v>
      </c>
      <c r="I148" s="10">
        <f>D148*F148</f>
        <v>0</v>
      </c>
      <c r="J148" s="10">
        <f>D148*(F148-G148)</f>
        <v>0</v>
      </c>
      <c r="K148" s="10">
        <f t="shared" si="34"/>
        <v>0</v>
      </c>
      <c r="L148" s="10">
        <f>D148*H148</f>
        <v>0</v>
      </c>
      <c r="M148" s="10">
        <f t="shared" si="35"/>
        <v>0</v>
      </c>
    </row>
    <row r="149" spans="1:13" s="14" customFormat="1" ht="13.5" customHeight="1" thickBot="1" x14ac:dyDescent="0.35">
      <c r="B149" s="12" t="s">
        <v>7</v>
      </c>
      <c r="C149" s="12"/>
      <c r="D149" s="13">
        <v>104</v>
      </c>
      <c r="E149" s="13"/>
      <c r="F149" s="13"/>
      <c r="G149" s="13"/>
      <c r="H149" s="13"/>
      <c r="I149" s="13">
        <f>SUM(I146:I148)</f>
        <v>1560</v>
      </c>
      <c r="J149" s="13">
        <f>SUM(J146:J148)</f>
        <v>1545</v>
      </c>
      <c r="K149" s="13">
        <f>SUM(K146:K148)</f>
        <v>1545</v>
      </c>
      <c r="L149" s="13">
        <f>SUM(L146:L148)</f>
        <v>20</v>
      </c>
      <c r="M149" s="13">
        <f>SUM(M146:M148)</f>
        <v>1540</v>
      </c>
    </row>
    <row r="150" spans="1:13" ht="13.5" customHeight="1" x14ac:dyDescent="0.3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20"/>
    </row>
    <row r="151" spans="1:13" ht="13.5" customHeight="1" x14ac:dyDescent="0.3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20"/>
    </row>
    <row r="152" spans="1:13" ht="13.5" customHeight="1" x14ac:dyDescent="0.3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20"/>
    </row>
    <row r="153" spans="1:13" ht="13.5" customHeight="1" x14ac:dyDescent="0.3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20"/>
    </row>
    <row r="154" spans="1:13" ht="13.5" customHeight="1" x14ac:dyDescent="0.3">
      <c r="A154" s="6">
        <f>A143+1</f>
        <v>14</v>
      </c>
      <c r="B154" s="6" t="str">
        <f>CONCATENATE("Table ",A154)</f>
        <v>Table 14</v>
      </c>
      <c r="C154" s="6" t="s">
        <v>31</v>
      </c>
    </row>
    <row r="155" spans="1:13" ht="13.5" customHeight="1" thickBot="1" x14ac:dyDescent="0.35">
      <c r="F155" s="22">
        <f>(D158-C158)/(1/E158)</f>
        <v>71.25</v>
      </c>
    </row>
    <row r="156" spans="1:13" ht="13.5" customHeight="1" thickBot="1" x14ac:dyDescent="0.35">
      <c r="B156" s="7" t="s">
        <v>17</v>
      </c>
      <c r="C156" s="7" t="s">
        <v>1</v>
      </c>
      <c r="D156" s="7" t="s">
        <v>8</v>
      </c>
      <c r="E156" s="7" t="s">
        <v>18</v>
      </c>
      <c r="F156" s="7" t="s">
        <v>19</v>
      </c>
      <c r="G156" s="7" t="s">
        <v>9</v>
      </c>
    </row>
    <row r="157" spans="1:13" ht="13.5" customHeight="1" thickBot="1" x14ac:dyDescent="0.35">
      <c r="B157" s="12"/>
      <c r="C157" s="13"/>
      <c r="D157" s="13"/>
      <c r="E157" s="12"/>
      <c r="F157" s="12"/>
      <c r="G157" s="13"/>
    </row>
    <row r="158" spans="1:13" ht="13.5" customHeight="1" thickBot="1" x14ac:dyDescent="0.35">
      <c r="B158" s="9" t="s">
        <v>4</v>
      </c>
      <c r="C158" s="10">
        <v>5</v>
      </c>
      <c r="D158" s="10">
        <v>100</v>
      </c>
      <c r="E158" s="3">
        <v>0.75</v>
      </c>
      <c r="F158" s="9">
        <f>$F$155</f>
        <v>71.25</v>
      </c>
      <c r="G158" s="10">
        <f>D158-E158*F158</f>
        <v>46.5625</v>
      </c>
    </row>
    <row r="159" spans="1:13" ht="13.5" customHeight="1" thickBot="1" x14ac:dyDescent="0.35">
      <c r="B159" s="9" t="s">
        <v>5</v>
      </c>
      <c r="C159" s="10">
        <v>0</v>
      </c>
      <c r="D159" s="10">
        <v>100</v>
      </c>
      <c r="E159" s="5">
        <v>1</v>
      </c>
      <c r="F159" s="9">
        <f>$F$155</f>
        <v>71.25</v>
      </c>
      <c r="G159" s="10">
        <f>D159-E159*F159</f>
        <v>28.75</v>
      </c>
    </row>
    <row r="160" spans="1:13" ht="13.5" customHeight="1" thickBot="1" x14ac:dyDescent="0.35">
      <c r="B160" s="9" t="s">
        <v>6</v>
      </c>
      <c r="C160" s="10">
        <v>10</v>
      </c>
      <c r="D160" s="10">
        <v>100</v>
      </c>
      <c r="E160" s="5">
        <v>0.3</v>
      </c>
      <c r="F160" s="9">
        <f>$F$155</f>
        <v>71.25</v>
      </c>
      <c r="G160" s="10">
        <f>D160-E160*F160</f>
        <v>78.625</v>
      </c>
    </row>
    <row r="161" spans="1:13" ht="13.5" customHeight="1" x14ac:dyDescent="0.3">
      <c r="M161" s="6"/>
    </row>
    <row r="165" spans="1:13" ht="13.5" customHeight="1" x14ac:dyDescent="0.3">
      <c r="A165" s="6">
        <f>A154+1</f>
        <v>15</v>
      </c>
      <c r="B165" s="6" t="str">
        <f>CONCATENATE("Table ",A165)</f>
        <v>Table 15</v>
      </c>
      <c r="C165" s="6" t="s">
        <v>43</v>
      </c>
    </row>
    <row r="166" spans="1:13" ht="13.5" customHeight="1" thickBot="1" x14ac:dyDescent="0.35"/>
    <row r="167" spans="1:13" ht="13.5" customHeight="1" thickBot="1" x14ac:dyDescent="0.35">
      <c r="B167" s="7" t="s">
        <v>17</v>
      </c>
      <c r="C167" s="7" t="s">
        <v>20</v>
      </c>
      <c r="D167" s="7" t="s">
        <v>8</v>
      </c>
      <c r="E167" s="7" t="s">
        <v>1</v>
      </c>
      <c r="F167" s="7" t="s">
        <v>25</v>
      </c>
      <c r="G167" s="7" t="s">
        <v>18</v>
      </c>
      <c r="H167" s="7" t="s">
        <v>23</v>
      </c>
      <c r="M167" s="6"/>
    </row>
    <row r="168" spans="1:13" ht="13.5" customHeight="1" thickBot="1" x14ac:dyDescent="0.35">
      <c r="B168" s="7"/>
      <c r="C168" s="13"/>
      <c r="D168" s="13"/>
      <c r="E168" s="13"/>
      <c r="F168" s="13"/>
      <c r="G168" s="13"/>
      <c r="H168" s="13"/>
      <c r="M168" s="6"/>
    </row>
    <row r="169" spans="1:13" ht="13.5" customHeight="1" thickBot="1" x14ac:dyDescent="0.35">
      <c r="B169" s="9" t="s">
        <v>10</v>
      </c>
      <c r="C169" s="10">
        <v>100</v>
      </c>
      <c r="D169" s="10">
        <v>100</v>
      </c>
      <c r="E169" s="10">
        <v>5</v>
      </c>
      <c r="F169" s="10">
        <f>H169/G169</f>
        <v>97.333333333333329</v>
      </c>
      <c r="G169" s="3">
        <f>$E$24</f>
        <v>0.75</v>
      </c>
      <c r="H169" s="10">
        <f>103-H171</f>
        <v>73</v>
      </c>
      <c r="M169" s="6"/>
    </row>
    <row r="170" spans="1:13" ht="13.5" customHeight="1" thickBot="1" x14ac:dyDescent="0.35">
      <c r="B170" s="9" t="s">
        <v>11</v>
      </c>
      <c r="C170" s="10">
        <v>100</v>
      </c>
      <c r="D170" s="10">
        <v>100</v>
      </c>
      <c r="E170" s="10">
        <v>0</v>
      </c>
      <c r="F170" s="10">
        <f t="shared" ref="F170:F171" si="36">H170/G170</f>
        <v>0</v>
      </c>
      <c r="G170" s="3">
        <f>$E$25</f>
        <v>1</v>
      </c>
      <c r="H170" s="10">
        <v>0</v>
      </c>
      <c r="M170" s="6"/>
    </row>
    <row r="171" spans="1:13" ht="13.5" customHeight="1" thickBot="1" x14ac:dyDescent="0.35">
      <c r="B171" s="9" t="s">
        <v>12</v>
      </c>
      <c r="C171" s="10">
        <v>100</v>
      </c>
      <c r="D171" s="10">
        <v>100</v>
      </c>
      <c r="E171" s="10">
        <v>10</v>
      </c>
      <c r="F171" s="10">
        <f t="shared" si="36"/>
        <v>100</v>
      </c>
      <c r="G171" s="3">
        <f>$E$26</f>
        <v>0.3</v>
      </c>
      <c r="H171" s="10">
        <f>G171*D171</f>
        <v>30</v>
      </c>
      <c r="M171" s="6"/>
    </row>
    <row r="172" spans="1:13" ht="13.5" customHeight="1" thickBot="1" x14ac:dyDescent="0.35">
      <c r="B172" s="12" t="s">
        <v>7</v>
      </c>
      <c r="C172" s="13">
        <f>SUM(C169:C171)</f>
        <v>300</v>
      </c>
      <c r="D172" s="13"/>
      <c r="E172" s="13"/>
      <c r="F172" s="13">
        <f>SUM(F169:F171)</f>
        <v>197.33333333333331</v>
      </c>
      <c r="G172" s="13"/>
      <c r="H172" s="13">
        <f>SUM(H169:H171)</f>
        <v>103</v>
      </c>
      <c r="M172" s="6"/>
    </row>
    <row r="173" spans="1:13" ht="13.5" customHeight="1" x14ac:dyDescent="0.3">
      <c r="M173" s="6"/>
    </row>
    <row r="174" spans="1:13" ht="13.5" customHeight="1" x14ac:dyDescent="0.3">
      <c r="M174" s="6"/>
    </row>
    <row r="176" spans="1:13" ht="13.5" customHeight="1" x14ac:dyDescent="0.3">
      <c r="A176" s="6">
        <f>A165+1</f>
        <v>16</v>
      </c>
      <c r="B176" s="6" t="str">
        <f>CONCATENATE("Table ",A176)</f>
        <v>Table 16</v>
      </c>
      <c r="C176" s="6" t="s">
        <v>41</v>
      </c>
    </row>
    <row r="177" spans="1:13" ht="13.5" customHeight="1" thickBot="1" x14ac:dyDescent="0.35"/>
    <row r="178" spans="1:13" ht="13.5" customHeight="1" thickBot="1" x14ac:dyDescent="0.35">
      <c r="B178" s="7" t="s">
        <v>17</v>
      </c>
      <c r="C178" s="7" t="s">
        <v>18</v>
      </c>
      <c r="D178" s="8" t="s">
        <v>14</v>
      </c>
      <c r="E178" s="8" t="s">
        <v>23</v>
      </c>
      <c r="F178" s="8" t="s">
        <v>8</v>
      </c>
      <c r="G178" s="8" t="s">
        <v>9</v>
      </c>
      <c r="H178" s="8" t="s">
        <v>1</v>
      </c>
      <c r="I178" s="8" t="s">
        <v>15</v>
      </c>
      <c r="J178" s="8" t="s">
        <v>21</v>
      </c>
      <c r="K178" s="8" t="s">
        <v>27</v>
      </c>
      <c r="L178" s="8" t="s">
        <v>28</v>
      </c>
      <c r="M178" s="19" t="s">
        <v>2</v>
      </c>
    </row>
    <row r="179" spans="1:13" ht="13.5" customHeight="1" thickBot="1" x14ac:dyDescent="0.35">
      <c r="B179" s="9" t="s">
        <v>10</v>
      </c>
      <c r="C179" s="3">
        <f>$E$24</f>
        <v>0.75</v>
      </c>
      <c r="D179" s="10">
        <v>84</v>
      </c>
      <c r="E179" s="10">
        <f>H169</f>
        <v>73</v>
      </c>
      <c r="F179" s="10">
        <f>D158</f>
        <v>100</v>
      </c>
      <c r="G179" s="10">
        <f>G158</f>
        <v>46.5625</v>
      </c>
      <c r="H179" s="10">
        <v>5</v>
      </c>
      <c r="I179" s="10">
        <f>D179*F179</f>
        <v>8400</v>
      </c>
      <c r="J179" s="10">
        <f>D179*(F179-G179)</f>
        <v>4488.75</v>
      </c>
      <c r="K179" s="10">
        <f>E179*(F179-G179)/C179</f>
        <v>5201.25</v>
      </c>
      <c r="L179" s="10">
        <f>D179*H179</f>
        <v>420</v>
      </c>
      <c r="M179" s="10">
        <f>I179-J179+K179-L179</f>
        <v>8692.5</v>
      </c>
    </row>
    <row r="180" spans="1:13" ht="13.5" customHeight="1" thickBot="1" x14ac:dyDescent="0.35">
      <c r="B180" s="9" t="s">
        <v>11</v>
      </c>
      <c r="C180" s="3">
        <f>$E$25</f>
        <v>1</v>
      </c>
      <c r="D180" s="10">
        <v>0</v>
      </c>
      <c r="E180" s="10">
        <f>H170</f>
        <v>0</v>
      </c>
      <c r="F180" s="10">
        <f>D159</f>
        <v>100</v>
      </c>
      <c r="G180" s="10">
        <f>G159</f>
        <v>28.75</v>
      </c>
      <c r="H180" s="10">
        <v>0</v>
      </c>
      <c r="I180" s="10">
        <f>D180*F180</f>
        <v>0</v>
      </c>
      <c r="J180" s="10">
        <f>D180*(F180-G180)</f>
        <v>0</v>
      </c>
      <c r="K180" s="10">
        <f t="shared" ref="K180:K181" si="37">E180*(F180-G180)/C180</f>
        <v>0</v>
      </c>
      <c r="L180" s="10">
        <f>D180*H180</f>
        <v>0</v>
      </c>
      <c r="M180" s="10">
        <f t="shared" ref="M180:M181" si="38">I180-J180+K180-L180</f>
        <v>0</v>
      </c>
    </row>
    <row r="181" spans="1:13" ht="13.5" customHeight="1" thickBot="1" x14ac:dyDescent="0.35">
      <c r="B181" s="9" t="s">
        <v>12</v>
      </c>
      <c r="C181" s="3">
        <f>$E$26</f>
        <v>0.3</v>
      </c>
      <c r="D181" s="10">
        <v>100</v>
      </c>
      <c r="E181" s="10">
        <f>H171</f>
        <v>30</v>
      </c>
      <c r="F181" s="10">
        <f>D160</f>
        <v>100</v>
      </c>
      <c r="G181" s="10">
        <f>G160</f>
        <v>78.625</v>
      </c>
      <c r="H181" s="10">
        <v>10</v>
      </c>
      <c r="I181" s="10">
        <f>D181*F181</f>
        <v>10000</v>
      </c>
      <c r="J181" s="10">
        <f>D181*(F181-G181)</f>
        <v>2137.5</v>
      </c>
      <c r="K181" s="10">
        <f t="shared" si="37"/>
        <v>2137.5</v>
      </c>
      <c r="L181" s="10">
        <f>D181*H181</f>
        <v>1000</v>
      </c>
      <c r="M181" s="10">
        <f t="shared" si="38"/>
        <v>9000</v>
      </c>
    </row>
    <row r="182" spans="1:13" s="14" customFormat="1" ht="13.5" customHeight="1" thickBot="1" x14ac:dyDescent="0.35">
      <c r="B182" s="12" t="s">
        <v>7</v>
      </c>
      <c r="C182" s="12"/>
      <c r="D182" s="13">
        <f>SUM(D179:D181)</f>
        <v>184</v>
      </c>
      <c r="E182" s="13">
        <f>SUM(E179:E181)</f>
        <v>103</v>
      </c>
      <c r="F182" s="13"/>
      <c r="G182" s="13"/>
      <c r="H182" s="13"/>
      <c r="I182" s="13">
        <f>SUM(I179:I181)</f>
        <v>18400</v>
      </c>
      <c r="J182" s="13">
        <f>SUM(J179:J181)</f>
        <v>6626.25</v>
      </c>
      <c r="K182" s="13">
        <f>SUM(K179:K181)</f>
        <v>7338.75</v>
      </c>
      <c r="L182" s="13">
        <f>SUM(L179:L181)</f>
        <v>1420</v>
      </c>
      <c r="M182" s="13">
        <f>SUM(M179:M181)</f>
        <v>17692.5</v>
      </c>
    </row>
    <row r="187" spans="1:13" ht="13.5" customHeight="1" x14ac:dyDescent="0.3">
      <c r="A187" s="6">
        <f>A176+1</f>
        <v>17</v>
      </c>
      <c r="B187" s="6" t="str">
        <f>CONCATENATE("Table ",A187)</f>
        <v>Table 17</v>
      </c>
      <c r="C187" s="6" t="s">
        <v>44</v>
      </c>
    </row>
    <row r="188" spans="1:13" ht="13.5" customHeight="1" thickBot="1" x14ac:dyDescent="0.35">
      <c r="F188" s="6">
        <f>(D191-C191)*(1/E191)</f>
        <v>13.333333333333332</v>
      </c>
    </row>
    <row r="189" spans="1:13" ht="13.5" customHeight="1" thickBot="1" x14ac:dyDescent="0.35">
      <c r="B189" s="7" t="s">
        <v>17</v>
      </c>
      <c r="C189" s="7" t="s">
        <v>1</v>
      </c>
      <c r="D189" s="7" t="s">
        <v>8</v>
      </c>
      <c r="E189" s="7" t="s">
        <v>18</v>
      </c>
      <c r="F189" s="7" t="s">
        <v>19</v>
      </c>
      <c r="G189" s="7" t="s">
        <v>9</v>
      </c>
    </row>
    <row r="190" spans="1:13" ht="13.5" customHeight="1" thickBot="1" x14ac:dyDescent="0.35">
      <c r="B190" s="12"/>
      <c r="C190" s="13"/>
      <c r="D190" s="13"/>
      <c r="E190" s="12"/>
      <c r="F190" s="12"/>
      <c r="G190" s="13"/>
    </row>
    <row r="191" spans="1:13" ht="13.5" customHeight="1" thickBot="1" x14ac:dyDescent="0.35">
      <c r="B191" s="9" t="s">
        <v>4</v>
      </c>
      <c r="C191" s="10">
        <v>5</v>
      </c>
      <c r="D191" s="10">
        <v>15</v>
      </c>
      <c r="E191" s="3">
        <v>0.75</v>
      </c>
      <c r="F191" s="3">
        <f>$F$188</f>
        <v>13.333333333333332</v>
      </c>
      <c r="G191" s="4">
        <f>D191-E191*F191</f>
        <v>5</v>
      </c>
    </row>
    <row r="192" spans="1:13" ht="13.5" customHeight="1" thickBot="1" x14ac:dyDescent="0.35">
      <c r="B192" s="9" t="s">
        <v>5</v>
      </c>
      <c r="C192" s="10">
        <v>0</v>
      </c>
      <c r="D192" s="10">
        <v>15</v>
      </c>
      <c r="E192" s="5">
        <v>1</v>
      </c>
      <c r="F192" s="3">
        <f t="shared" ref="F192:F194" si="39">$F$188</f>
        <v>13.333333333333332</v>
      </c>
      <c r="G192" s="4">
        <f>D192-E192*F192</f>
        <v>1.6666666666666679</v>
      </c>
    </row>
    <row r="193" spans="1:13" ht="13.5" customHeight="1" thickBot="1" x14ac:dyDescent="0.35">
      <c r="B193" s="9" t="s">
        <v>6</v>
      </c>
      <c r="C193" s="10">
        <v>10</v>
      </c>
      <c r="D193" s="10">
        <v>15</v>
      </c>
      <c r="E193" s="5">
        <v>0.3</v>
      </c>
      <c r="F193" s="3">
        <f t="shared" si="39"/>
        <v>13.333333333333332</v>
      </c>
      <c r="G193" s="4">
        <f>D193-E193*F193</f>
        <v>11</v>
      </c>
    </row>
    <row r="194" spans="1:13" ht="13.5" customHeight="1" thickBot="1" x14ac:dyDescent="0.35">
      <c r="B194" s="9" t="s">
        <v>13</v>
      </c>
      <c r="C194" s="10">
        <v>-5</v>
      </c>
      <c r="D194" s="10">
        <v>15</v>
      </c>
      <c r="E194" s="5">
        <v>1</v>
      </c>
      <c r="F194" s="3">
        <f t="shared" si="39"/>
        <v>13.333333333333332</v>
      </c>
      <c r="G194" s="4">
        <f>D194-E194*F194</f>
        <v>1.6666666666666679</v>
      </c>
    </row>
    <row r="198" spans="1:13" ht="13.5" customHeight="1" x14ac:dyDescent="0.3">
      <c r="A198" s="6">
        <f>A187+1</f>
        <v>18</v>
      </c>
      <c r="B198" s="6" t="str">
        <f>CONCATENATE("Table ",A198)</f>
        <v>Table 18</v>
      </c>
      <c r="C198" s="6" t="s">
        <v>45</v>
      </c>
    </row>
    <row r="199" spans="1:13" ht="13.5" customHeight="1" thickBot="1" x14ac:dyDescent="0.35"/>
    <row r="200" spans="1:13" ht="13.5" customHeight="1" thickBot="1" x14ac:dyDescent="0.35">
      <c r="B200" s="7" t="s">
        <v>17</v>
      </c>
      <c r="C200" s="7" t="s">
        <v>18</v>
      </c>
      <c r="D200" s="8" t="s">
        <v>14</v>
      </c>
      <c r="E200" s="8" t="s">
        <v>23</v>
      </c>
      <c r="F200" s="8" t="s">
        <v>8</v>
      </c>
      <c r="G200" s="8" t="s">
        <v>9</v>
      </c>
      <c r="H200" s="8" t="s">
        <v>1</v>
      </c>
      <c r="I200" s="8" t="s">
        <v>15</v>
      </c>
      <c r="J200" s="8" t="s">
        <v>21</v>
      </c>
      <c r="K200" s="8" t="s">
        <v>27</v>
      </c>
      <c r="L200" s="8" t="s">
        <v>28</v>
      </c>
      <c r="M200" s="19" t="s">
        <v>2</v>
      </c>
    </row>
    <row r="201" spans="1:13" ht="13.5" customHeight="1" thickBot="1" x14ac:dyDescent="0.35">
      <c r="B201" s="9" t="s">
        <v>10</v>
      </c>
      <c r="C201" s="3">
        <f>$E$24</f>
        <v>0.75</v>
      </c>
      <c r="D201" s="10">
        <v>31</v>
      </c>
      <c r="E201" s="10">
        <f>G69</f>
        <v>37.68292682926829</v>
      </c>
      <c r="F201" s="10">
        <v>15</v>
      </c>
      <c r="G201" s="10">
        <f>G191</f>
        <v>5</v>
      </c>
      <c r="H201" s="10">
        <v>5</v>
      </c>
      <c r="I201" s="10">
        <f>D201*F201</f>
        <v>465</v>
      </c>
      <c r="J201" s="10">
        <f>D201*(F201-G201)</f>
        <v>310</v>
      </c>
      <c r="K201" s="10">
        <f>E201*(F201-G201)/C201</f>
        <v>502.4390243902439</v>
      </c>
      <c r="L201" s="10">
        <f>D201*H201</f>
        <v>155</v>
      </c>
      <c r="M201" s="10">
        <f>I201-J201+K201-L201</f>
        <v>502.43902439024396</v>
      </c>
    </row>
    <row r="202" spans="1:13" ht="13.5" customHeight="1" thickBot="1" x14ac:dyDescent="0.35">
      <c r="B202" s="9" t="s">
        <v>11</v>
      </c>
      <c r="C202" s="3">
        <f>$E$25</f>
        <v>1</v>
      </c>
      <c r="D202" s="10">
        <v>100</v>
      </c>
      <c r="E202" s="10">
        <f>G70</f>
        <v>50.243902439024389</v>
      </c>
      <c r="F202" s="10">
        <v>15</v>
      </c>
      <c r="G202" s="10">
        <f t="shared" ref="G202:G204" si="40">G192</f>
        <v>1.6666666666666679</v>
      </c>
      <c r="H202" s="10">
        <v>0</v>
      </c>
      <c r="I202" s="10">
        <f>D202*F202</f>
        <v>1500</v>
      </c>
      <c r="J202" s="10">
        <f>D202*(F202-G202)</f>
        <v>1333.3333333333333</v>
      </c>
      <c r="K202" s="10">
        <f t="shared" ref="K202:K203" si="41">E202*(F202-G202)/C202</f>
        <v>669.91869918699183</v>
      </c>
      <c r="L202" s="10">
        <f>D202*H202</f>
        <v>0</v>
      </c>
      <c r="M202" s="10">
        <f t="shared" ref="M202:M203" si="42">I202-J202+K202-L202</f>
        <v>836.58536585365857</v>
      </c>
    </row>
    <row r="203" spans="1:13" ht="13.5" customHeight="1" thickBot="1" x14ac:dyDescent="0.35">
      <c r="B203" s="9" t="s">
        <v>12</v>
      </c>
      <c r="C203" s="3">
        <f>$E$26</f>
        <v>0.3</v>
      </c>
      <c r="D203" s="10">
        <v>0</v>
      </c>
      <c r="E203" s="10">
        <f>G71</f>
        <v>15.073170731707316</v>
      </c>
      <c r="F203" s="10">
        <v>15</v>
      </c>
      <c r="G203" s="10">
        <f t="shared" si="40"/>
        <v>11</v>
      </c>
      <c r="H203" s="10">
        <v>10</v>
      </c>
      <c r="I203" s="10">
        <f>D203*F203</f>
        <v>0</v>
      </c>
      <c r="J203" s="10">
        <f>D203*(F203-G203)</f>
        <v>0</v>
      </c>
      <c r="K203" s="10">
        <f t="shared" si="41"/>
        <v>200.97560975609755</v>
      </c>
      <c r="L203" s="10">
        <f>D203*H203</f>
        <v>0</v>
      </c>
      <c r="M203" s="10">
        <f t="shared" si="42"/>
        <v>200.97560975609755</v>
      </c>
    </row>
    <row r="204" spans="1:13" ht="13.5" customHeight="1" thickBot="1" x14ac:dyDescent="0.35">
      <c r="B204" s="9" t="s">
        <v>13</v>
      </c>
      <c r="C204" s="3">
        <v>1</v>
      </c>
      <c r="D204" s="10">
        <v>-20</v>
      </c>
      <c r="E204" s="10"/>
      <c r="F204" s="10">
        <v>15</v>
      </c>
      <c r="G204" s="10">
        <f t="shared" si="40"/>
        <v>1.6666666666666679</v>
      </c>
      <c r="H204" s="10">
        <v>0</v>
      </c>
      <c r="I204" s="10">
        <f>D204*F204</f>
        <v>-300</v>
      </c>
      <c r="J204" s="10">
        <f>D204*(F204-G204)</f>
        <v>-266.66666666666663</v>
      </c>
      <c r="K204" s="10">
        <f t="shared" ref="K204" si="43">E204*(F204-G204)/C204</f>
        <v>0</v>
      </c>
      <c r="L204" s="10">
        <f>D204*H204</f>
        <v>0</v>
      </c>
      <c r="M204" s="10">
        <f t="shared" ref="M204" si="44">I204-J204+K204-L204</f>
        <v>-33.333333333333371</v>
      </c>
    </row>
    <row r="205" spans="1:13" s="14" customFormat="1" ht="13.5" customHeight="1" thickBot="1" x14ac:dyDescent="0.35">
      <c r="B205" s="12" t="s">
        <v>7</v>
      </c>
      <c r="C205" s="12"/>
      <c r="D205" s="13">
        <f>SUM(D201:D204)</f>
        <v>111</v>
      </c>
      <c r="E205" s="13">
        <f>SUM(E201:E204)</f>
        <v>103</v>
      </c>
      <c r="F205" s="13"/>
      <c r="G205" s="13"/>
      <c r="H205" s="13"/>
      <c r="I205" s="13">
        <f>SUM(I201:I204)</f>
        <v>1665</v>
      </c>
      <c r="J205" s="13">
        <f>SUM(J201:J204)</f>
        <v>1376.6666666666665</v>
      </c>
      <c r="K205" s="13">
        <f>SUM(K201:K204)</f>
        <v>1373.3333333333333</v>
      </c>
      <c r="L205" s="13">
        <f>SUM(L201:L204)</f>
        <v>155</v>
      </c>
      <c r="M205" s="13">
        <f>SUM(M201:M204)</f>
        <v>1506.6666666666665</v>
      </c>
    </row>
    <row r="209" spans="1:11" ht="13.5" customHeight="1" x14ac:dyDescent="0.3">
      <c r="A209" s="6">
        <f>A198+1</f>
        <v>19</v>
      </c>
      <c r="B209" s="6" t="str">
        <f>CONCATENATE("Table ",A209)</f>
        <v>Table 19</v>
      </c>
      <c r="C209" s="6" t="s">
        <v>46</v>
      </c>
    </row>
    <row r="210" spans="1:11" ht="13.5" customHeight="1" thickBot="1" x14ac:dyDescent="0.35"/>
    <row r="211" spans="1:11" ht="13.5" customHeight="1" thickBot="1" x14ac:dyDescent="0.35">
      <c r="B211" s="7" t="s">
        <v>13</v>
      </c>
      <c r="C211" s="7" t="s">
        <v>50</v>
      </c>
      <c r="D211" s="7" t="s">
        <v>1</v>
      </c>
      <c r="E211" s="8" t="s">
        <v>14</v>
      </c>
      <c r="F211" s="8" t="s">
        <v>1</v>
      </c>
    </row>
    <row r="212" spans="1:11" ht="13.5" customHeight="1" thickBot="1" x14ac:dyDescent="0.35">
      <c r="B212" s="9"/>
      <c r="C212" s="9" t="s">
        <v>48</v>
      </c>
      <c r="D212" s="10" t="s">
        <v>48</v>
      </c>
      <c r="E212" s="10" t="s">
        <v>51</v>
      </c>
      <c r="F212" s="10" t="s">
        <v>52</v>
      </c>
      <c r="K212" s="1"/>
    </row>
    <row r="213" spans="1:11" ht="13.5" customHeight="1" thickBot="1" x14ac:dyDescent="0.35">
      <c r="B213" s="9" t="s">
        <v>47</v>
      </c>
      <c r="C213" s="9" t="s">
        <v>8</v>
      </c>
      <c r="D213" s="4">
        <v>15</v>
      </c>
      <c r="E213" s="10">
        <v>20</v>
      </c>
      <c r="F213" s="10">
        <f>D213*E213</f>
        <v>300</v>
      </c>
    </row>
    <row r="214" spans="1:11" ht="13.5" customHeight="1" thickBot="1" x14ac:dyDescent="0.35">
      <c r="B214" s="9" t="s">
        <v>49</v>
      </c>
      <c r="C214" s="9" t="s">
        <v>9</v>
      </c>
      <c r="D214" s="4">
        <f>G204</f>
        <v>1.6666666666666679</v>
      </c>
      <c r="E214" s="10">
        <v>20</v>
      </c>
      <c r="F214" s="10">
        <f>D214*E214</f>
        <v>33.333333333333357</v>
      </c>
    </row>
    <row r="215" spans="1:11" ht="13.5" customHeight="1" thickBot="1" x14ac:dyDescent="0.35">
      <c r="B215" s="12" t="s">
        <v>53</v>
      </c>
      <c r="C215" s="9"/>
      <c r="D215" s="18">
        <f>D213-D214</f>
        <v>13.333333333333332</v>
      </c>
      <c r="E215" s="13"/>
      <c r="F215" s="13">
        <f>F213-F214</f>
        <v>266.66666666666663</v>
      </c>
    </row>
  </sheetData>
  <conditionalFormatting sqref="E56:H56 E60:H60 E58:H58">
    <cfRule type="cellIs" dxfId="2" priority="1" operator="lessThan">
      <formula>0</formula>
    </cfRule>
    <cfRule type="cellIs" dxfId="1" priority="2" operator="greaterThan">
      <formula>0</formula>
    </cfRule>
    <cfRule type="expression" dxfId="0" priority="3">
      <formula>"&gt;0"</formula>
    </cfRule>
  </conditionalFormatting>
  <hyperlinks>
    <hyperlink ref="E78" location="_ftn1" display="_ftn1" xr:uid="{88871AE2-558E-4A09-A485-31C75C33D9B2}"/>
    <hyperlink ref="E101" location="_ftn1" display="_ftn1" xr:uid="{94AFAF5C-D1F6-4BEA-99DA-FEA9CCDEA2E1}"/>
    <hyperlink ref="E124" location="_ftn1" display="_ftn1" xr:uid="{DD52AB48-4271-4F84-BF5C-039A237617BF}"/>
    <hyperlink ref="E145" location="_ftn1" display="_ftn1" xr:uid="{E06D36D2-EBA1-4F7A-A4A3-DACD1BB2BCBB}"/>
    <hyperlink ref="E178" location="_ftn1" display="_ftn1" xr:uid="{25FCF0E5-6C96-4D6C-B141-36F3AE3B34D5}"/>
    <hyperlink ref="E200" location="_ftn1" display="_ftn1" xr:uid="{D5300D3C-E178-4187-82D8-D599AC4A4575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8884D-B942-4BB9-AECF-6F6D56BF8A0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Inputs</vt:lpstr>
      <vt:lpstr>Results</vt:lpstr>
      <vt:lpstr>Note_Rounding</vt:lpstr>
      <vt:lpstr>OLD</vt:lpstr>
      <vt:lpstr>OLD!_ftn1</vt:lpstr>
      <vt:lpstr>OLD!_ftn2</vt:lpstr>
      <vt:lpstr>OLD!_ftn3</vt:lpstr>
      <vt:lpstr>OLD!_ftnref1</vt:lpstr>
      <vt:lpstr>OLD!_ftnref3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Sinden</dc:creator>
  <cp:lastModifiedBy>Amanda Sinden</cp:lastModifiedBy>
  <dcterms:created xsi:type="dcterms:W3CDTF">2022-06-20T02:15:46Z</dcterms:created>
  <dcterms:modified xsi:type="dcterms:W3CDTF">2023-02-09T00:50:23Z</dcterms:modified>
</cp:coreProperties>
</file>