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ogrape-my.sharepoint.com/personal/manuel_avides_sogrape_pt/Documents/Vendas 2021/Catálogo Natal 2021/"/>
    </mc:Choice>
  </mc:AlternateContent>
  <xr:revisionPtr revIDLastSave="4" documentId="8_{256EFCFB-704B-4E09-8400-2F4936D5F950}" xr6:coauthVersionLast="46" xr6:coauthVersionMax="46" xr10:uidLastSave="{6A00AA05-61FC-423F-9D50-56B0AF63CA24}"/>
  <bookViews>
    <workbookView xWindow="-120" yWindow="-120" windowWidth="20730" windowHeight="11310" xr2:uid="{00000000-000D-0000-FFFF-FFFF00000000}"/>
  </bookViews>
  <sheets>
    <sheet name="Tabela de Preços_2021" sheetId="5" r:id="rId1"/>
  </sheets>
  <definedNames>
    <definedName name="_xlnm.Print_Area" localSheetId="0">'Tabela de Preços_2021'!$A$1:$O$257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2" i="5" l="1"/>
  <c r="M231" i="5"/>
  <c r="M240" i="5"/>
  <c r="M241" i="5"/>
  <c r="M243" i="5"/>
  <c r="M250" i="5"/>
  <c r="M248" i="5"/>
  <c r="M245" i="5"/>
  <c r="M242" i="5"/>
  <c r="M239" i="5"/>
  <c r="M237" i="5"/>
  <c r="M236" i="5"/>
  <c r="M254" i="5"/>
  <c r="D252" i="5"/>
  <c r="M252" i="5" s="1"/>
  <c r="D241" i="5"/>
  <c r="D237" i="5"/>
  <c r="E236" i="5"/>
  <c r="M227" i="5"/>
  <c r="M228" i="5"/>
  <c r="M229" i="5"/>
  <c r="M230" i="5"/>
  <c r="M233" i="5"/>
  <c r="M226" i="5"/>
  <c r="R218" i="5"/>
  <c r="M218" i="5"/>
  <c r="M146" i="5"/>
  <c r="M128" i="5"/>
  <c r="M118" i="5"/>
  <c r="M116" i="5"/>
  <c r="R109" i="5"/>
  <c r="M109" i="5"/>
  <c r="R106" i="5"/>
  <c r="M106" i="5"/>
  <c r="M71" i="5"/>
  <c r="D296" i="5"/>
  <c r="E294" i="5"/>
  <c r="D294" i="5"/>
  <c r="E292" i="5"/>
  <c r="D292" i="5"/>
  <c r="E290" i="5"/>
  <c r="D290" i="5"/>
  <c r="E287" i="5"/>
  <c r="D287" i="5"/>
  <c r="D285" i="5"/>
  <c r="E284" i="5"/>
  <c r="D284" i="5"/>
  <c r="D283" i="5"/>
  <c r="D282" i="5"/>
  <c r="E281" i="5"/>
  <c r="D281" i="5"/>
  <c r="D280" i="5"/>
  <c r="E279" i="5"/>
  <c r="D279" i="5"/>
  <c r="E278" i="5"/>
  <c r="D278" i="5"/>
  <c r="M238" i="5"/>
  <c r="R54" i="5"/>
  <c r="M54" i="5"/>
  <c r="R118" i="5"/>
  <c r="R220" i="5"/>
  <c r="M220" i="5"/>
  <c r="R217" i="5"/>
  <c r="M217" i="5"/>
  <c r="R216" i="5"/>
  <c r="M216" i="5"/>
  <c r="R215" i="5"/>
  <c r="M215" i="5"/>
  <c r="R214" i="5"/>
  <c r="M214" i="5"/>
  <c r="R213" i="5"/>
  <c r="M213" i="5"/>
  <c r="R212" i="5"/>
  <c r="M212" i="5"/>
  <c r="R211" i="5"/>
  <c r="M211" i="5"/>
  <c r="R210" i="5"/>
  <c r="M210" i="5"/>
  <c r="R221" i="5"/>
  <c r="M221" i="5"/>
  <c r="R222" i="5"/>
  <c r="M222" i="5"/>
  <c r="R219" i="5"/>
  <c r="M219" i="5"/>
  <c r="R225" i="5"/>
  <c r="M225" i="5"/>
  <c r="R223" i="5"/>
  <c r="M223" i="5"/>
  <c r="R224" i="5"/>
  <c r="M224" i="5"/>
  <c r="R200" i="5"/>
  <c r="M200" i="5"/>
  <c r="R205" i="5"/>
  <c r="M205" i="5"/>
  <c r="R203" i="5"/>
  <c r="M203" i="5"/>
  <c r="R204" i="5"/>
  <c r="M204" i="5"/>
  <c r="R202" i="5"/>
  <c r="M202" i="5"/>
  <c r="R188" i="5"/>
  <c r="M188" i="5"/>
  <c r="R187" i="5"/>
  <c r="M187" i="5"/>
  <c r="R185" i="5"/>
  <c r="M185" i="5"/>
  <c r="R179" i="5"/>
  <c r="M179" i="5"/>
  <c r="R180" i="5"/>
  <c r="M180" i="5"/>
  <c r="R157" i="5"/>
  <c r="M157" i="5"/>
  <c r="R156" i="5"/>
  <c r="M156" i="5"/>
  <c r="R140" i="5"/>
  <c r="M140" i="5"/>
  <c r="R37" i="5"/>
  <c r="M37" i="5"/>
  <c r="M24" i="5"/>
  <c r="M23" i="5"/>
  <c r="M22" i="5"/>
  <c r="M21" i="5"/>
  <c r="M30" i="5" l="1"/>
  <c r="M40" i="5"/>
  <c r="M39" i="5"/>
  <c r="M182" i="5" l="1"/>
  <c r="R30" i="5" l="1"/>
  <c r="M66" i="5" l="1"/>
  <c r="E65" i="5"/>
  <c r="M65" i="5" s="1"/>
  <c r="R66" i="5" l="1"/>
  <c r="R65" i="5"/>
  <c r="R92" i="5"/>
  <c r="R91" i="5" l="1"/>
  <c r="R90" i="5"/>
  <c r="M89" i="5"/>
  <c r="M191" i="5" l="1"/>
  <c r="M186" i="5"/>
  <c r="M184" i="5"/>
  <c r="M183" i="5"/>
  <c r="M162" i="5"/>
  <c r="M97" i="5"/>
  <c r="M98" i="5"/>
  <c r="M96" i="5"/>
  <c r="M95" i="5"/>
  <c r="M94" i="5"/>
  <c r="M93" i="5"/>
  <c r="M92" i="5"/>
  <c r="M91" i="5"/>
  <c r="M90" i="5"/>
  <c r="M88" i="5"/>
  <c r="M87" i="5"/>
  <c r="M75" i="5"/>
  <c r="M83" i="5"/>
  <c r="M82" i="5"/>
  <c r="M81" i="5"/>
  <c r="M80" i="5"/>
  <c r="M79" i="5"/>
  <c r="M77" i="5"/>
  <c r="M78" i="5"/>
  <c r="M76" i="5"/>
  <c r="M63" i="5"/>
  <c r="M62" i="5"/>
  <c r="M60" i="5"/>
  <c r="M59" i="5"/>
  <c r="M48" i="5"/>
  <c r="M47" i="5"/>
  <c r="M46" i="5"/>
  <c r="M45" i="5"/>
  <c r="M44" i="5"/>
  <c r="M27" i="5"/>
  <c r="M34" i="5"/>
  <c r="R186" i="5" l="1"/>
  <c r="R184" i="5"/>
  <c r="R183" i="5"/>
  <c r="R199" i="5"/>
  <c r="R198" i="5"/>
  <c r="M199" i="5"/>
  <c r="M198" i="5"/>
  <c r="R170" i="5"/>
  <c r="M170" i="5"/>
  <c r="M161" i="5"/>
  <c r="R143" i="5"/>
  <c r="M143" i="5"/>
  <c r="R111" i="5" l="1"/>
  <c r="M111" i="5"/>
  <c r="R71" i="5"/>
  <c r="R190" i="5" l="1"/>
  <c r="M190" i="5"/>
  <c r="R128" i="5" l="1"/>
  <c r="R87" i="5"/>
  <c r="R57" i="5"/>
  <c r="M57" i="5"/>
  <c r="R78" i="5" l="1"/>
  <c r="R125" i="5" l="1"/>
  <c r="M125" i="5"/>
  <c r="R39" i="5"/>
  <c r="R34" i="5"/>
  <c r="R31" i="5"/>
  <c r="M31" i="5"/>
  <c r="R27" i="5" l="1"/>
  <c r="M206" i="5" l="1"/>
  <c r="M207" i="5"/>
  <c r="M181" i="5"/>
  <c r="M155" i="5"/>
  <c r="M154" i="5"/>
  <c r="M152" i="5"/>
  <c r="M151" i="5"/>
  <c r="M144" i="5"/>
  <c r="R127" i="5"/>
  <c r="M127" i="5"/>
  <c r="M117" i="5" l="1"/>
  <c r="M115" i="5"/>
  <c r="M42" i="5" l="1"/>
  <c r="R192" i="5" l="1"/>
  <c r="M192" i="5"/>
  <c r="R159" i="5"/>
  <c r="M159" i="5"/>
  <c r="R194" i="5" l="1"/>
  <c r="M194" i="5"/>
  <c r="R181" i="5"/>
  <c r="R64" i="5" l="1"/>
  <c r="M64" i="5"/>
  <c r="R83" i="5"/>
  <c r="R80" i="5"/>
  <c r="R79" i="5"/>
  <c r="R73" i="5"/>
  <c r="M73" i="5"/>
  <c r="R68" i="5"/>
  <c r="M68" i="5"/>
  <c r="R67" i="5"/>
  <c r="M67" i="5"/>
  <c r="R53" i="5"/>
  <c r="M53" i="5"/>
  <c r="R50" i="5"/>
  <c r="M50" i="5"/>
  <c r="R46" i="5"/>
  <c r="R40" i="5"/>
  <c r="M160" i="5" l="1"/>
  <c r="R144" i="5"/>
  <c r="M52" i="5"/>
  <c r="M61" i="5" l="1"/>
  <c r="R61" i="5"/>
  <c r="R60" i="5"/>
  <c r="R59" i="5"/>
  <c r="R169" i="5" l="1"/>
  <c r="M169" i="5"/>
  <c r="R101" i="5" l="1"/>
  <c r="M101" i="5"/>
  <c r="R47" i="5"/>
  <c r="R82" i="5"/>
  <c r="R42" i="5" l="1"/>
  <c r="M51" i="5" l="1"/>
  <c r="R158" i="5"/>
  <c r="R154" i="5"/>
  <c r="M158" i="5"/>
  <c r="M178" i="5" l="1"/>
  <c r="M153" i="5"/>
  <c r="M145" i="5"/>
  <c r="R58" i="5" l="1"/>
  <c r="M112" i="5"/>
  <c r="M110" i="5"/>
  <c r="M107" i="5"/>
  <c r="M108" i="5"/>
  <c r="M105" i="5"/>
  <c r="M58" i="5"/>
  <c r="M49" i="5" l="1"/>
  <c r="R52" i="5"/>
  <c r="R49" i="5"/>
  <c r="R33" i="5" l="1"/>
  <c r="R38" i="5"/>
  <c r="R41" i="5"/>
  <c r="R43" i="5"/>
  <c r="R44" i="5"/>
  <c r="R51" i="5"/>
  <c r="R48" i="5"/>
  <c r="R32" i="5"/>
  <c r="M41" i="5"/>
  <c r="M149" i="5" l="1"/>
  <c r="R29" i="5" l="1"/>
  <c r="M29" i="5"/>
  <c r="R165" i="5" l="1"/>
  <c r="R24" i="5"/>
  <c r="R149" i="5"/>
  <c r="R189" i="5"/>
  <c r="R35" i="5" l="1"/>
  <c r="R22" i="5"/>
  <c r="R23" i="5"/>
  <c r="R25" i="5"/>
  <c r="R26" i="5"/>
  <c r="R28" i="5"/>
  <c r="R45" i="5"/>
  <c r="R55" i="5"/>
  <c r="R56" i="5"/>
  <c r="R62" i="5"/>
  <c r="R63" i="5"/>
  <c r="R69" i="5"/>
  <c r="R70" i="5"/>
  <c r="R72" i="5"/>
  <c r="R74" i="5"/>
  <c r="R75" i="5"/>
  <c r="R76" i="5"/>
  <c r="R77" i="5"/>
  <c r="R81" i="5"/>
  <c r="R86" i="5"/>
  <c r="R88" i="5"/>
  <c r="R89" i="5"/>
  <c r="R99" i="5"/>
  <c r="R100" i="5"/>
  <c r="R102" i="5"/>
  <c r="R103" i="5"/>
  <c r="R104" i="5"/>
  <c r="R105" i="5"/>
  <c r="R108" i="5"/>
  <c r="R107" i="5"/>
  <c r="R110" i="5"/>
  <c r="R112" i="5"/>
  <c r="R115" i="5"/>
  <c r="R119" i="5"/>
  <c r="R120" i="5"/>
  <c r="R121" i="5"/>
  <c r="R122" i="5"/>
  <c r="R123" i="5"/>
  <c r="R124" i="5"/>
  <c r="R126" i="5"/>
  <c r="R129" i="5"/>
  <c r="R130" i="5"/>
  <c r="R133" i="5"/>
  <c r="R134" i="5"/>
  <c r="R135" i="5"/>
  <c r="R136" i="5"/>
  <c r="R137" i="5"/>
  <c r="R138" i="5"/>
  <c r="R139" i="5"/>
  <c r="R141" i="5"/>
  <c r="R142" i="5"/>
  <c r="R145" i="5"/>
  <c r="R146" i="5"/>
  <c r="R147" i="5"/>
  <c r="R148" i="5"/>
  <c r="R150" i="5"/>
  <c r="R151" i="5"/>
  <c r="R152" i="5"/>
  <c r="R153" i="5"/>
  <c r="R155" i="5"/>
  <c r="R163" i="5"/>
  <c r="R164" i="5"/>
  <c r="R166" i="5"/>
  <c r="R167" i="5"/>
  <c r="R168" i="5"/>
  <c r="R171" i="5"/>
  <c r="R174" i="5"/>
  <c r="R175" i="5"/>
  <c r="R176" i="5"/>
  <c r="R177" i="5"/>
  <c r="R178" i="5"/>
  <c r="R182" i="5"/>
  <c r="R193" i="5"/>
  <c r="R195" i="5"/>
  <c r="R196" i="5"/>
  <c r="R197" i="5"/>
  <c r="R201" i="5"/>
  <c r="R206" i="5"/>
  <c r="R207" i="5"/>
  <c r="R21" i="5"/>
  <c r="R36" i="5" l="1"/>
  <c r="M74" i="5" l="1"/>
  <c r="M201" i="5" l="1"/>
  <c r="M197" i="5"/>
  <c r="M196" i="5"/>
  <c r="M195" i="5"/>
  <c r="M193" i="5"/>
  <c r="M189" i="5"/>
  <c r="M177" i="5"/>
  <c r="M176" i="5"/>
  <c r="M175" i="5"/>
  <c r="M174" i="5"/>
  <c r="M36" i="5"/>
  <c r="M86" i="5" l="1"/>
  <c r="M129" i="5" l="1"/>
  <c r="M130" i="5"/>
  <c r="M134" i="5" l="1"/>
  <c r="M135" i="5"/>
  <c r="M136" i="5"/>
  <c r="M137" i="5"/>
  <c r="M138" i="5"/>
  <c r="M139" i="5"/>
  <c r="M141" i="5"/>
  <c r="M142" i="5"/>
  <c r="M147" i="5"/>
  <c r="M148" i="5"/>
  <c r="M150" i="5"/>
  <c r="M163" i="5"/>
  <c r="M164" i="5"/>
  <c r="M165" i="5"/>
  <c r="M166" i="5"/>
  <c r="M167" i="5"/>
  <c r="M168" i="5"/>
  <c r="M171" i="5"/>
  <c r="M133" i="5"/>
  <c r="M126" i="5"/>
  <c r="M124" i="5"/>
  <c r="M123" i="5"/>
  <c r="M122" i="5"/>
  <c r="M121" i="5"/>
  <c r="M120" i="5"/>
  <c r="M119" i="5"/>
  <c r="M104" i="5"/>
  <c r="M103" i="5"/>
  <c r="M102" i="5"/>
  <c r="M100" i="5"/>
  <c r="M99" i="5"/>
  <c r="M72" i="5"/>
  <c r="M70" i="5"/>
  <c r="M69" i="5"/>
  <c r="M56" i="5"/>
  <c r="M55" i="5"/>
  <c r="M38" i="5"/>
  <c r="M35" i="5"/>
  <c r="M33" i="5"/>
  <c r="M32" i="5"/>
  <c r="M28" i="5"/>
  <c r="M26" i="5"/>
  <c r="M25" i="5"/>
  <c r="M43" i="5"/>
  <c r="M257" i="5" l="1"/>
  <c r="P170" i="5"/>
  <c r="P169" i="5"/>
  <c r="P171" i="5"/>
  <c r="P207" i="5"/>
</calcChain>
</file>

<file path=xl/sharedStrings.xml><?xml version="1.0" encoding="utf-8"?>
<sst xmlns="http://schemas.openxmlformats.org/spreadsheetml/2006/main" count="504" uniqueCount="266">
  <si>
    <t>ENCª</t>
  </si>
  <si>
    <t xml:space="preserve">ENCª </t>
  </si>
  <si>
    <t>CAIXA</t>
  </si>
  <si>
    <t>c/ IVA e IEC</t>
  </si>
  <si>
    <t>TOTAL ENCOMENDA</t>
  </si>
  <si>
    <t>2 GFS</t>
  </si>
  <si>
    <t>3 GFS</t>
  </si>
  <si>
    <t>CX CRT  PREMIUM</t>
  </si>
  <si>
    <t>MOEDA: EURO</t>
  </si>
  <si>
    <t xml:space="preserve"> NOTA DE ENCOMENDA</t>
  </si>
  <si>
    <t>GENEROSOS</t>
  </si>
  <si>
    <t>Ferreira Tawny c/ Cx Individual de Cartão</t>
  </si>
  <si>
    <t>Offley Vintage 2011</t>
  </si>
  <si>
    <t>Sandeman Tawny c/ Cx Individual de Cartão</t>
  </si>
  <si>
    <t>Sandeman Tawny 10 Anos 50 cl</t>
  </si>
  <si>
    <t>Sandeman Tawny 20 Anos 50 cl</t>
  </si>
  <si>
    <t>Sandeman Tawny 30 Anos 50 cl</t>
  </si>
  <si>
    <t>Sandeman Tawny 40 Anos 50 cl</t>
  </si>
  <si>
    <t>Sandeman Vau Vintage 1999</t>
  </si>
  <si>
    <t xml:space="preserve">Tequilha Herradura </t>
  </si>
  <si>
    <t>Brandy Constantino</t>
  </si>
  <si>
    <t>Sandeman 225 Anos Individual</t>
  </si>
  <si>
    <t>ESPIRITUOSOS</t>
  </si>
  <si>
    <t>Offley Tawny c/ Cx Individual de Cartão</t>
  </si>
  <si>
    <t>GF / CONJ.</t>
  </si>
  <si>
    <t xml:space="preserve">NOME   : </t>
  </si>
  <si>
    <t>LOCAL DE ENTREGA ( Morada e Hora Preferencial) :</t>
  </si>
  <si>
    <t xml:space="preserve">CONTACTOS  : </t>
  </si>
  <si>
    <t>CÓDIGO POSTAL :</t>
  </si>
  <si>
    <t>LOCALIDADE:</t>
  </si>
  <si>
    <t>CONTRIBUINTE:</t>
  </si>
  <si>
    <t>CAIXAS PREMIUM</t>
  </si>
  <si>
    <t>Gin Greenalls</t>
  </si>
  <si>
    <t>Gin Opihr</t>
  </si>
  <si>
    <t>Gin Bloom</t>
  </si>
  <si>
    <t>Gin Nº 3</t>
  </si>
  <si>
    <t>CONTACTOS SOGRAPE :     Manuel Avides Moreira         TELEFONE 227 850 356 /  937 850 298            E-MAIL : manuel.avides@sogrape.pt</t>
  </si>
  <si>
    <t>Sandeman  Vintage Quinta do Seixo 2013</t>
  </si>
  <si>
    <t>Sandeman 225 Anos Coleção</t>
  </si>
  <si>
    <t>Ferreira Dona Antonia Reserva Tawny</t>
  </si>
  <si>
    <t>Ferreira Dona Antonia Reserva Tawny Branco</t>
  </si>
  <si>
    <t>Offley Barão de Forrester Tawny 10 Anos</t>
  </si>
  <si>
    <t>Offley Barão de Forrester Tawny 20 Anos</t>
  </si>
  <si>
    <t>Offley Barão de Forrester Tawny 30 Anos</t>
  </si>
  <si>
    <t xml:space="preserve">Aguardente de Vinho Velha Chancella </t>
  </si>
  <si>
    <t>Whiskey Jack Daniel's</t>
  </si>
  <si>
    <t>Whiskey Jack Daniel's Single Barrel</t>
  </si>
  <si>
    <t>Cognac Hine Rare VSOP</t>
  </si>
  <si>
    <t>Offley Forrester Reserva Ruby</t>
  </si>
  <si>
    <t>Sandeman Founders Reserve Ruby  50 cl</t>
  </si>
  <si>
    <t>Aguardente Velha de Vinhos Verdes Ferreirinha</t>
  </si>
  <si>
    <t>Ferreira Dona Antonia Reserva Tawny 37,5 cl</t>
  </si>
  <si>
    <t>Cachaça Anumará</t>
  </si>
  <si>
    <t>Alterar Catálogo</t>
  </si>
  <si>
    <t>Whiskey Jack Daniel's Honey</t>
  </si>
  <si>
    <t>VINHOS NACIONAIS</t>
  </si>
  <si>
    <t>VINHOS INTERNACIONAIS</t>
  </si>
  <si>
    <t>ESPUMANTES</t>
  </si>
  <si>
    <t>Ferreira Vintage Quinta do Porto 2015</t>
  </si>
  <si>
    <t>Sandeman  Vintage 2016</t>
  </si>
  <si>
    <t xml:space="preserve">Ferreira D. Antónia Old Tawny 10 Anos Branco </t>
  </si>
  <si>
    <t xml:space="preserve">Ferreira D. Antónia Old Tawny 10 Anos </t>
  </si>
  <si>
    <t xml:space="preserve">Ferreira D. Antónia Old Tawny 20 Anos </t>
  </si>
  <si>
    <t>Offley Vintage 2016</t>
  </si>
  <si>
    <t>Ferreira Vintage 2016</t>
  </si>
  <si>
    <t>VALOR</t>
  </si>
  <si>
    <t>Whiskey Jack Daniel's Gentleman Jack</t>
  </si>
  <si>
    <t>Gin Greenalls Willd Berry</t>
  </si>
  <si>
    <t>Ferreira Vintage Quinta do Porto 2017</t>
  </si>
  <si>
    <t>Vodka Zubrowka Biala</t>
  </si>
  <si>
    <r>
      <t xml:space="preserve">A Sogrape Distribuição, S.A., enquanto responsável pelo tratamento dos seus dados pessoais, vem por este meio informar que o tratamento dos dados pessoais é imprescindível para a compra de vinhos e bebidas Sogrape e demais informação relacionada com a gestão de encomendas. Os dados pessoais recolhidos serão conservados tendo em atenção os critérios legais de necessidade e minimização do período de conservação. Na qualidade de titular dos dados poderá solicitar esclarecimentos adicionais a todo o tempo, assim como exercer os seus direitos (de acesso, retificação, oposição, limitação, portabilidade, eliminação e de apresentar reclamação junto da Comissão Nacional de Proteção de Dados), através de comunicação para o </t>
    </r>
    <r>
      <rPr>
        <b/>
        <i/>
        <sz val="13"/>
        <color rgb="FF000000"/>
        <rFont val="Palatino Linotype"/>
        <family val="1"/>
      </rPr>
      <t>e-mail</t>
    </r>
    <r>
      <rPr>
        <b/>
        <sz val="13"/>
        <color rgb="FF000000"/>
        <rFont val="Palatino Linotype"/>
        <family val="1"/>
      </rPr>
      <t xml:space="preserve"> privacy@sogrape.pt. Para mais informações consulte a nossa </t>
    </r>
    <r>
      <rPr>
        <b/>
        <u/>
        <sz val="13"/>
        <color rgb="FF000000"/>
        <rFont val="Palatino Linotype"/>
        <family val="1"/>
      </rPr>
      <t>Política de Privacidade</t>
    </r>
    <r>
      <rPr>
        <b/>
        <sz val="13"/>
        <rFont val="Palatino Linotype"/>
        <family val="1"/>
      </rPr>
      <t xml:space="preserve">  </t>
    </r>
    <r>
      <rPr>
        <b/>
        <sz val="13"/>
        <color rgb="FF00B0F0"/>
        <rFont val="Palatino Linotype"/>
        <family val="1"/>
      </rPr>
      <t xml:space="preserve">https://sograpedistribuicao.pt/pt </t>
    </r>
  </si>
  <si>
    <t>Mateus Aragonez 75 Cl</t>
  </si>
  <si>
    <t>Gazela Verde Branco 75 Cl</t>
  </si>
  <si>
    <t>Gazela Verde Rosé 75 Cl</t>
  </si>
  <si>
    <t>Mateus Rosé Original 75 Cl</t>
  </si>
  <si>
    <t>Mateus Rosé Sparkling Espumante Bruto 75 Cl</t>
  </si>
  <si>
    <t>Gancia Espumante Bruto 75 Cl</t>
  </si>
  <si>
    <t>Gancia Asti Espumante Doce 75 Cl</t>
  </si>
  <si>
    <t>Gancia Prosecco Espumante Seco  75 Cl</t>
  </si>
  <si>
    <t>Codorniu Clássico Cava Bruto 75 Cl</t>
  </si>
  <si>
    <t>Codorniu Seleccion Raventos Cava Bruto 75 Cl</t>
  </si>
  <si>
    <t>Codorniu Seleccion Raventos Cava Rosé 75 Cl</t>
  </si>
  <si>
    <t>Codorniu Anna Blanc de Blancs 75 Cl</t>
  </si>
  <si>
    <t>Taittinger Brut Reserve Champagne c/ Cx. Ind 75 Cl</t>
  </si>
  <si>
    <t>Taittinger Prestige Rosé Champagne c/ Cx. Ind 75 Cl</t>
  </si>
  <si>
    <t>Vodka Finlandia</t>
  </si>
  <si>
    <t>CF  Tinta Francisca Douro Tinto 2015 75 Cl</t>
  </si>
  <si>
    <t>CF  Antónia Adelaide Ferreira Douro Tinto 2016 75 Cl</t>
  </si>
  <si>
    <t>HP Reserva Alentejo Tinto 2017 75 Cl</t>
  </si>
  <si>
    <t>HP Essência Alentejo Tinto 2017 75 Cl</t>
  </si>
  <si>
    <t>HP Icone Alentejo Tinto 2014 75 Cl</t>
  </si>
  <si>
    <t>QC Duque de Viseu Dão Tinto 2019 75 Cl</t>
  </si>
  <si>
    <t>QC Colheita Dão Branco 2019 75 Cl</t>
  </si>
  <si>
    <t>QC Encruzado Dão Branco 2019 75 Cl</t>
  </si>
  <si>
    <t>QC Tinta Roriz Dão Tinto 2011 75 Cl</t>
  </si>
  <si>
    <t>QC Alfrocheiro Dão Tinto 2015 75 Cl</t>
  </si>
  <si>
    <t>QC Touriga Nacional Dão Tinto 2017 75 Cl</t>
  </si>
  <si>
    <t>QC Jaen Dão Tinto 2011 75 Cl</t>
  </si>
  <si>
    <t>Lan D12 Tinto 2017 75 Cl</t>
  </si>
  <si>
    <t>FF Misterio Chardonay Argentina Branco 2019 75 Cl</t>
  </si>
  <si>
    <r>
      <t xml:space="preserve">FF Misterio Malbec Argentina Tinto </t>
    </r>
    <r>
      <rPr>
        <b/>
        <sz val="16"/>
        <color rgb="FFFF0000"/>
        <rFont val="Calibri"/>
        <family val="2"/>
      </rPr>
      <t>????</t>
    </r>
    <r>
      <rPr>
        <b/>
        <sz val="16"/>
        <rFont val="Calibri"/>
        <family val="2"/>
        <scheme val="minor"/>
      </rPr>
      <t xml:space="preserve"> 75 Cl</t>
    </r>
  </si>
  <si>
    <t>FF Misterio Cabernet Sauvignon Argentina Tinto 2019 75 Cl</t>
  </si>
  <si>
    <t>Quinta dos Carvalhais Espumante Rosé Bruto 2008 75 Cl</t>
  </si>
  <si>
    <t>Taittinger Brut Reserve Champagne c/ Cx. Ind. + 2 Flutes 75 Cl</t>
  </si>
  <si>
    <t>Sandeman Late Bottled Vintage  2015</t>
  </si>
  <si>
    <t>Sandeman  Vintage 2018</t>
  </si>
  <si>
    <t>Ferreira Vintage 2018</t>
  </si>
  <si>
    <t>Offley Vintage 2018</t>
  </si>
  <si>
    <t>Whiskey The BenRiack 10 Y</t>
  </si>
  <si>
    <t>Whiskey The GlenDronach 12 Y</t>
  </si>
  <si>
    <t>Whiskey Pigs Nose</t>
  </si>
  <si>
    <t>Ferreira Late Bottled Vintage 2015</t>
  </si>
  <si>
    <t>Ferreira Late Bottled Vintage 2015 37,5 cl</t>
  </si>
  <si>
    <t>Ferreira Vinhas Velhas Vintage 2016</t>
  </si>
  <si>
    <t>CABAZ</t>
  </si>
  <si>
    <t>SEM MEL</t>
  </si>
  <si>
    <t>COM MEL</t>
  </si>
  <si>
    <t xml:space="preserve"> CX CARTÃO</t>
  </si>
  <si>
    <t>CX MADEIRA</t>
  </si>
  <si>
    <t>CABAZES GENEROSOS</t>
  </si>
  <si>
    <t>c/ CHOCOL.</t>
  </si>
  <si>
    <t>1 Carvalhais Grão Vasco T + Queijo Ovelha Amanteigado</t>
  </si>
  <si>
    <t>Cabaz Ferreira D. Antónia Reserva Tawny + Queijo Ovelha Amanteigado</t>
  </si>
  <si>
    <t>s/ CHOCOL.</t>
  </si>
  <si>
    <t xml:space="preserve">c/ IVA </t>
  </si>
  <si>
    <t>VALOR c/ IVA</t>
  </si>
  <si>
    <r>
      <t xml:space="preserve">Torres Salmos Priorat Tarragona Tinto </t>
    </r>
    <r>
      <rPr>
        <b/>
        <sz val="16"/>
        <rFont val="Calibri"/>
        <family val="2"/>
      </rPr>
      <t>2016</t>
    </r>
    <r>
      <rPr>
        <b/>
        <sz val="16"/>
        <rFont val="Calibri"/>
        <family val="2"/>
        <scheme val="minor"/>
      </rPr>
      <t xml:space="preserve"> 75 cl</t>
    </r>
  </si>
  <si>
    <t>QC Gão Vasco Dão Tinto 2019 Magnum 150 Cl</t>
  </si>
  <si>
    <t>QC Colheita Dão Rosé 2018 75 Cl</t>
  </si>
  <si>
    <t>QC Reserva Dão Branco 2018 75 Cl</t>
  </si>
  <si>
    <t>Quinta de Azevedo Reserva Verde Branco 2019 75 Cl</t>
  </si>
  <si>
    <r>
      <t xml:space="preserve">Lan Crianza Rioja Tinto </t>
    </r>
    <r>
      <rPr>
        <b/>
        <sz val="16"/>
        <rFont val="Calibri"/>
        <family val="2"/>
      </rPr>
      <t>2017</t>
    </r>
    <r>
      <rPr>
        <b/>
        <sz val="16"/>
        <rFont val="Calibri"/>
        <family val="2"/>
        <scheme val="minor"/>
      </rPr>
      <t xml:space="preserve"> 75 Cl</t>
    </r>
  </si>
  <si>
    <t>FF Resevra  Cabernet Sauvignon Argentina Tinto  2011 75 Cl</t>
  </si>
  <si>
    <t>QC Mélange à Trois Dão Tinto 2018 2 x 75 Cl Pack</t>
  </si>
  <si>
    <t>QC Mélange à Trois Dão Tinto 2018 Magnum 150 Cl</t>
  </si>
  <si>
    <t xml:space="preserve">HP Trinca Bolotas Tinto  2019 75 Cl </t>
  </si>
  <si>
    <t>Torres Viña Esmeralda Penedès Branco 2019 75 cl</t>
  </si>
  <si>
    <t>Taittinger Comtes Champagne Blanc 2007 75 Cl</t>
  </si>
  <si>
    <t>Taittinger Comtes Champagne Rosé 2007 75 Cl</t>
  </si>
  <si>
    <r>
      <t xml:space="preserve">HP Sossego Alentejo Tinto </t>
    </r>
    <r>
      <rPr>
        <b/>
        <sz val="16"/>
        <rFont val="Calibri"/>
        <family val="2"/>
      </rPr>
      <t>2018</t>
    </r>
    <r>
      <rPr>
        <b/>
        <sz val="16"/>
        <rFont val="Calibri"/>
        <family val="2"/>
        <scheme val="minor"/>
      </rPr>
      <t xml:space="preserve"> Magnum 150 Cl</t>
    </r>
  </si>
  <si>
    <t>QC Dão Branco Especial 75 Cl</t>
  </si>
  <si>
    <t>QC Único Dão Tinto 2015 75 Cl</t>
  </si>
  <si>
    <t>CF Planalto Reserva Douro Branco 2020 75 Cl</t>
  </si>
  <si>
    <t>CF Esteva Douro Tinto Magnum 2019 150 Cl</t>
  </si>
  <si>
    <t>CF Papa Figos Douro Branco 2020 75 Cl</t>
  </si>
  <si>
    <t>CF Vinha Grande Douro Branco 2020 75 Cl</t>
  </si>
  <si>
    <t>CF Vinha Grande Douro Rosé 2020 75 Cl</t>
  </si>
  <si>
    <t>CF Vinha Grande Douro Tinto 2019 75 Cl</t>
  </si>
  <si>
    <t>CF Vinha Grande Douro Tinto 2018 150 Cl</t>
  </si>
  <si>
    <t>CF Callabriga Douro Tinto 2019  75 Cl</t>
  </si>
  <si>
    <t>CF Callabriga Douro Tinto 2018 Magnum 150 Cl</t>
  </si>
  <si>
    <t>CF  Quinta da Leda Douro Tinto 2018 75 Cl</t>
  </si>
  <si>
    <r>
      <t xml:space="preserve">CF  Quinta da Leda Douro Tinto </t>
    </r>
    <r>
      <rPr>
        <b/>
        <sz val="16"/>
        <rFont val="Calibri"/>
        <family val="2"/>
      </rPr>
      <t>2018</t>
    </r>
    <r>
      <rPr>
        <b/>
        <sz val="16"/>
        <rFont val="Calibri"/>
        <family val="2"/>
        <scheme val="minor"/>
      </rPr>
      <t xml:space="preserve"> Magnum 150 Cl</t>
    </r>
  </si>
  <si>
    <t>CF Esteva Douro Tinto 2019 75 Cl</t>
  </si>
  <si>
    <t>VÁLIDA DE 1 DE OUTUBRO A 31 DE DEZEMBRO DE 2021</t>
  </si>
  <si>
    <t>CF Papa Figos Douro Tinto 2019 75 Cl</t>
  </si>
  <si>
    <t>CF Papa Figos Douro Tinto 2019 Magnum 150 Cl</t>
  </si>
  <si>
    <t>CF  Castas Escondidas Douro Tinto 2018 75 Cl</t>
  </si>
  <si>
    <t>CF  Antónia Adelaide Ferreira Douro Branco 2016 75 Cl</t>
  </si>
  <si>
    <t>Legado Douro Tinto 2016 75 Cl</t>
  </si>
  <si>
    <t>HP Vinha do Monte Alentejo Branco 2020 75 Cl</t>
  </si>
  <si>
    <t>HP Vinha do Monte Alentejo Tinto 2020 75 Cl</t>
  </si>
  <si>
    <t>HP Sossego Alentejo Rosé 2020 75 Cl</t>
  </si>
  <si>
    <t>HP Sossego Alentejo Tinto 2020 75 Cl</t>
  </si>
  <si>
    <t>HP Trinca Bolotas Branco 2020 75 Cl</t>
  </si>
  <si>
    <t xml:space="preserve">HP Trinca Bolotas Tinto 2019 Magnum 150 Cl  </t>
  </si>
  <si>
    <t>HP Colheita Alentejo Tinto 2018 75 Cl</t>
  </si>
  <si>
    <t>QC Gão Vasco Dão Branco 2020 75 Cl</t>
  </si>
  <si>
    <t>QC Gão Vasco Dão Tinto 2020 75 Cl</t>
  </si>
  <si>
    <t>QC Duque de Viseu Dão Branco 2020 75 Cl</t>
  </si>
  <si>
    <t>QC Mélange à Trois Dão Tinto 2019 75 Cl</t>
  </si>
  <si>
    <t>Quinta da Romeira Prova Régia Bucelas Branco 2020 75 Cl</t>
  </si>
  <si>
    <t>Quinta da Romeira Morgado Stª Catherina Bucelas Branco 2019 75 Cl</t>
  </si>
  <si>
    <t>Azevedo Loureiro/Alvarinho Verde Branco 2020 75 Cl</t>
  </si>
  <si>
    <t>Azevedo Reserva Alvarinho Verde Branco 2020 75 Cl</t>
  </si>
  <si>
    <t>Lan A Mano Rioja Tinto 2017 75 Cl</t>
  </si>
  <si>
    <t>Lan Culmen Reserva Rioja Tinto 2015 75 Cl</t>
  </si>
  <si>
    <t>Torres Viña Sol Penedès Branco 2020 75 cl</t>
  </si>
  <si>
    <t>Torres Fransola Penedès Branco 2019 75 cl</t>
  </si>
  <si>
    <t>Torres Mas La Plana Penedès Tinto 2016 75 cl</t>
  </si>
  <si>
    <t>Torres Celeste Crianza Ribera Del Duero Tinto 2018 75 cl</t>
  </si>
  <si>
    <t>Torres Altos Ibéricos Crianza Rioja Tinto 2017 75 cl</t>
  </si>
  <si>
    <t>Torres Sangre de Toro Catalunha Tinto 2019 75 cl</t>
  </si>
  <si>
    <t>Torres Coronas Catalunha Tinto 2018 75 cl</t>
  </si>
  <si>
    <r>
      <t xml:space="preserve">Santiago Ruiz Rias Baixas Branco </t>
    </r>
    <r>
      <rPr>
        <b/>
        <sz val="16"/>
        <rFont val="Calibri"/>
        <family val="2"/>
      </rPr>
      <t>2019</t>
    </r>
    <r>
      <rPr>
        <b/>
        <sz val="16"/>
        <rFont val="Calibri"/>
        <family val="2"/>
        <scheme val="minor"/>
      </rPr>
      <t xml:space="preserve"> 75 Cl</t>
    </r>
  </si>
  <si>
    <t>FF Misterio Malbec Argentina Tinto 2020 75 Cl</t>
  </si>
  <si>
    <t>CLB Tradition Reserve Sauvignon Blanc Chile 2020 75 Cl</t>
  </si>
  <si>
    <t>CLB Tradition Reserve Carmenere Chile Tinto 2020 75 Cl</t>
  </si>
  <si>
    <t>F Sauvignon Blanc Nova Zelândia 2020 75 Cl</t>
  </si>
  <si>
    <t>F Pinot Noir Nova Zelândia 2018 75 Cl</t>
  </si>
  <si>
    <t xml:space="preserve">Ferreira D. Antónia Old Tawny Edição Especial 20 Anos </t>
  </si>
  <si>
    <t>Offley Barão de Forrester Late Bottled Vintage  2016</t>
  </si>
  <si>
    <t>Whiskey Jack Daniel's Apple</t>
  </si>
  <si>
    <t>Whiskey Jack Daniel's Fire</t>
  </si>
  <si>
    <t>Whiskey The BenRiack 12 Y</t>
  </si>
  <si>
    <t>Whiskey The GlenDronach Revival</t>
  </si>
  <si>
    <t>Whiskey The GlenDronach Torfa</t>
  </si>
  <si>
    <t>Rum Diplomático Mantuano</t>
  </si>
  <si>
    <t>Rum Diplomático Planas</t>
  </si>
  <si>
    <t>Rum Diplomático Single Vintage 2005</t>
  </si>
  <si>
    <t>Rum Diplomático Embassador</t>
  </si>
  <si>
    <t>Gin Nordés</t>
  </si>
  <si>
    <t>HP Sossego Alentejo Tinto 2020 2x75 Cl</t>
  </si>
  <si>
    <t>HP Trinca Bolotas Tinto 2019 2x75 Cl</t>
  </si>
  <si>
    <t>HP Grande Trinca Bolotas Tinto 2018 2x75 Cl</t>
  </si>
  <si>
    <t>CF Esteva Douro Tinto 2019 2x75 Cl</t>
  </si>
  <si>
    <t>CF Vinha Grande Douro Tinto 2019 2x75 Cl</t>
  </si>
  <si>
    <t>QC Gão Vasco Dão Tinto 2020 2x75 Cl</t>
  </si>
  <si>
    <t>QC Mélange à Trois Dão Tinto 2019 2x75 Cl</t>
  </si>
  <si>
    <t>CF Papa Figos T + HP Trinca Bolotas T</t>
  </si>
  <si>
    <t>HP Reserva Tinto + CF Callabriga Tinto + QC Reserva Tinto</t>
  </si>
  <si>
    <t>Ferreira D. Antónia Reserva Tawny + Cálice</t>
  </si>
  <si>
    <t>Ferreira D. Antónia Reserva Branco + Cálice</t>
  </si>
  <si>
    <t>Ferreira D. Antónia Old Tawny 10 Anos + 2 Cálices</t>
  </si>
  <si>
    <t>Aguardente de Vinho Velha Chancella + 1 Copo</t>
  </si>
  <si>
    <t>Offley Clink White</t>
  </si>
  <si>
    <t>Sandeman Tawny 10 Y + Sandeman Tawny 20 Y</t>
  </si>
  <si>
    <t>Ferreira D. Antónia Old Tawny Edição Especial 30 Anos</t>
  </si>
  <si>
    <t>1 HP Trinca Bolotas T + Queijo Ovelha Amanteigado</t>
  </si>
  <si>
    <t>1 CF Vinha Grande T +  CF Azeite Virgem Extra + Queijo Ovelha Amanteigado</t>
  </si>
  <si>
    <t>Cabaz Ferreira D. Antónia Tawny 10 Y + Queijo Ovelha Amanteigado</t>
  </si>
  <si>
    <t>Cabaz Sandeman Tawny 10 Y + Queijo Ovelha Amanteigado</t>
  </si>
  <si>
    <t>c/ TRUFAS CH</t>
  </si>
  <si>
    <t>PACKS ESPECIAIS</t>
  </si>
  <si>
    <t xml:space="preserve">QC Colheita Dão Tinto 2018 75 Cl  </t>
  </si>
  <si>
    <t>Vodka Russian Standard Gold</t>
  </si>
  <si>
    <t>Vodka Russian Standard</t>
  </si>
  <si>
    <t>Los Boldos Espumante Bruto Traditional</t>
  </si>
  <si>
    <t xml:space="preserve">HP Grande Trinca Bolotas Tinto 2018 Magnum 150 Cl  </t>
  </si>
  <si>
    <t>Sandeman Veil Very Old Tawny</t>
  </si>
  <si>
    <t>Fotos</t>
  </si>
  <si>
    <t>Falta</t>
  </si>
  <si>
    <t>Já tenho</t>
  </si>
  <si>
    <t>=2020</t>
  </si>
  <si>
    <t>falta</t>
  </si>
  <si>
    <t>CLB Grand Clos Cabernet Sauvignon Chile Tinto 2017 75 Cl</t>
  </si>
  <si>
    <t>TAXA IVA</t>
  </si>
  <si>
    <t xml:space="preserve">PREÇOS C/ IVA  / GF                         </t>
  </si>
  <si>
    <t>OK</t>
  </si>
  <si>
    <t>HP Sossego Alentejo Branco 2021 75 Cl</t>
  </si>
  <si>
    <t>HP Grande Trinca Bolotas Tinto 2018 75 Cl</t>
  </si>
  <si>
    <t>CLB Tradition Reserve Merlot Chile Tinto 2020 75 Cl</t>
  </si>
  <si>
    <t>F Riesling Nova Zelândia 2017 75 Cl</t>
  </si>
  <si>
    <t>CLB Amalia Grand Cru Cabernet Sauvignon Chile Tinto 2014 75 Cl</t>
  </si>
  <si>
    <t>Gin Liqueur Bloom Lemon &amp; Elderflower</t>
  </si>
  <si>
    <t xml:space="preserve">Gin Liqueur Bloom Strawberry             </t>
  </si>
  <si>
    <t>HP Trinca Bolotas Tinto + CF Papa Figos Tinto + QC Mélange Tinto</t>
  </si>
  <si>
    <t>Cabaz Sandeman Tawny 20 Y + Queijo Ovelha Amanteigado + Figos Pingo Mel + Cx Trufas de Chocolate 125 g</t>
  </si>
  <si>
    <t>Gin Greenalls c/ Medidor</t>
  </si>
  <si>
    <t>Gin Bloom c/ Copo</t>
  </si>
  <si>
    <t>Gin Opihr c/ 1 Copo</t>
  </si>
  <si>
    <t>Gin Nº 3 c/ Copo</t>
  </si>
  <si>
    <t>Gin Nordés c/Copo</t>
  </si>
  <si>
    <t>Whiskey Pigs Nose c/ Copo</t>
  </si>
  <si>
    <t>3 Carvalhais Mélange à Trois + Queijo Ovelha Amanteigado</t>
  </si>
  <si>
    <t>1 Carvalhais Duque de Viseu B + 1 Duque Viseu T + Queijo Ovelha Amanteigado</t>
  </si>
  <si>
    <t>1 HP Trinca Bolotas B + 2 HP Grande T Bolotas T + Queijo Ovelha Amanteigado</t>
  </si>
  <si>
    <t>3 Casa Ferreirinha Papa Figos T + Queijo Ovelha Amanteigado</t>
  </si>
  <si>
    <t>1 Casa Ferreirinha Esteva T + Queijo Ovelha Amanteigado</t>
  </si>
  <si>
    <t>s/ TRUFAS CH</t>
  </si>
  <si>
    <t>3 Herdade do Peso Sossego T + Queijo Ovelha Amanteigado</t>
  </si>
  <si>
    <t>Quinta da Romeira Espumante Bruto 2019 75 Cl</t>
  </si>
  <si>
    <t>QC Reserva Dão Tinto 2018 75 Cl</t>
  </si>
  <si>
    <t>Rum Diplomático Mantuano + Miniatura Reserva Exclusiva</t>
  </si>
  <si>
    <t xml:space="preserve"> </t>
  </si>
  <si>
    <t>Rum Diplomático Reserva Exclusiva + 1 Copo + 1 Molde Gelo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</si>
</sst>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51">
    <font>
      <sz val="10"/>
      <name val="Arial"/>
    </font>
    <font>
      <sz val="8"/>
      <name val="Arial"/>
      <family val="2"/>
    </font>
    <font>
      <b/>
      <sz val="10"/>
      <name val="Garamond"/>
      <family val="1"/>
    </font>
    <font>
      <sz val="10"/>
      <name val="Geneva"/>
    </font>
    <font>
      <b/>
      <sz val="10"/>
      <color indexed="12"/>
      <name val="Garamond"/>
      <family val="1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3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8"/>
      <color indexed="9"/>
      <name val="Calibri"/>
      <family val="2"/>
      <scheme val="minor"/>
    </font>
    <font>
      <b/>
      <sz val="16"/>
      <name val="Calibri"/>
      <family val="2"/>
      <scheme val="minor"/>
    </font>
    <font>
      <b/>
      <sz val="28"/>
      <color indexed="9"/>
      <name val="Calibri"/>
      <family val="2"/>
      <scheme val="minor"/>
    </font>
    <font>
      <sz val="18"/>
      <name val="Calibri"/>
      <family val="2"/>
      <scheme val="minor"/>
    </font>
    <font>
      <sz val="10"/>
      <name val="Arial"/>
      <family val="2"/>
    </font>
    <font>
      <b/>
      <sz val="16"/>
      <color indexed="9"/>
      <name val="Calibri"/>
      <family val="2"/>
      <scheme val="minor"/>
    </font>
    <font>
      <sz val="16"/>
      <name val="Arial"/>
      <family val="2"/>
    </font>
    <font>
      <sz val="16"/>
      <name val="Calibri"/>
      <family val="2"/>
      <scheme val="minor"/>
    </font>
    <font>
      <b/>
      <sz val="16"/>
      <name val="Garamond"/>
      <family val="1"/>
    </font>
    <font>
      <b/>
      <sz val="12"/>
      <color indexed="9"/>
      <name val="Arial"/>
      <family val="2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3"/>
      <color rgb="FF000000"/>
      <name val="Palatino Linotype"/>
      <family val="1"/>
    </font>
    <font>
      <b/>
      <i/>
      <sz val="13"/>
      <color rgb="FF000000"/>
      <name val="Palatino Linotype"/>
      <family val="1"/>
    </font>
    <font>
      <b/>
      <u/>
      <sz val="13"/>
      <color rgb="FF000000"/>
      <name val="Palatino Linotype"/>
      <family val="1"/>
    </font>
    <font>
      <b/>
      <sz val="13"/>
      <name val="Palatino Linotype"/>
      <family val="1"/>
    </font>
    <font>
      <b/>
      <sz val="13"/>
      <color rgb="FF00B0F0"/>
      <name val="Palatino Linotype"/>
      <family val="1"/>
    </font>
    <font>
      <b/>
      <sz val="13"/>
      <name val="Arial"/>
      <family val="2"/>
    </font>
    <font>
      <b/>
      <sz val="16"/>
      <color rgb="FFFF0000"/>
      <name val="Calibri"/>
      <family val="2"/>
      <scheme val="minor"/>
    </font>
    <font>
      <sz val="10"/>
      <color rgb="FFFF0000"/>
      <name val="Arial"/>
      <family val="2"/>
    </font>
    <font>
      <sz val="16"/>
      <color rgb="FFFF0000"/>
      <name val="Arial"/>
      <family val="2"/>
    </font>
    <font>
      <b/>
      <sz val="16"/>
      <color rgb="FFFF0000"/>
      <name val="Garamond"/>
      <family val="1"/>
    </font>
    <font>
      <b/>
      <sz val="16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b/>
      <sz val="16"/>
      <name val="Calibri"/>
      <family val="2"/>
    </font>
    <font>
      <b/>
      <sz val="20"/>
      <color indexed="9"/>
      <name val="Calibri"/>
      <family val="2"/>
      <scheme val="minor"/>
    </font>
    <font>
      <sz val="20"/>
      <name val="Arial"/>
      <family val="2"/>
    </font>
    <font>
      <sz val="2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lightGray"/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7">
    <xf numFmtId="0" fontId="0" fillId="0" borderId="0"/>
    <xf numFmtId="0" fontId="3" fillId="0" borderId="0" applyBorder="0"/>
    <xf numFmtId="0" fontId="5" fillId="0" borderId="0"/>
    <xf numFmtId="44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48">
    <xf numFmtId="0" fontId="0" fillId="0" borderId="0" xfId="0"/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4" fontId="4" fillId="0" borderId="0" xfId="1" applyNumberFormat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4" fontId="6" fillId="0" borderId="0" xfId="0" applyNumberFormat="1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4" fontId="12" fillId="0" borderId="0" xfId="1" applyNumberFormat="1" applyFont="1" applyFill="1" applyAlignment="1" applyProtection="1">
      <alignment horizontal="center" vertical="center"/>
    </xf>
    <xf numFmtId="0" fontId="12" fillId="0" borderId="8" xfId="1" applyFont="1" applyFill="1" applyBorder="1" applyAlignment="1" applyProtection="1">
      <alignment vertical="center"/>
    </xf>
    <xf numFmtId="4" fontId="12" fillId="0" borderId="8" xfId="1" applyNumberFormat="1" applyFont="1" applyFill="1" applyBorder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4" fontId="11" fillId="0" borderId="0" xfId="0" applyNumberFormat="1" applyFont="1" applyFill="1" applyAlignment="1" applyProtection="1">
      <alignment horizontal="center" vertical="center"/>
    </xf>
    <xf numFmtId="4" fontId="16" fillId="0" borderId="0" xfId="0" applyNumberFormat="1" applyFont="1" applyFill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Alignment="1" applyProtection="1">
      <alignment horizontal="center" vertical="center"/>
    </xf>
    <xf numFmtId="44" fontId="21" fillId="0" borderId="1" xfId="3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" fillId="0" borderId="10" xfId="1" applyFont="1" applyFill="1" applyBorder="1" applyAlignment="1" applyProtection="1">
      <alignment vertical="center"/>
    </xf>
    <xf numFmtId="0" fontId="20" fillId="5" borderId="0" xfId="0" applyFont="1" applyFill="1" applyAlignment="1" applyProtection="1">
      <alignment horizontal="center" vertical="center"/>
    </xf>
    <xf numFmtId="0" fontId="20" fillId="5" borderId="0" xfId="0" applyFont="1" applyFill="1" applyAlignment="1" applyProtection="1">
      <alignment horizontal="center"/>
    </xf>
    <xf numFmtId="0" fontId="23" fillId="0" borderId="0" xfId="0" applyFont="1" applyProtection="1"/>
    <xf numFmtId="9" fontId="21" fillId="0" borderId="1" xfId="6" applyFont="1" applyFill="1" applyBorder="1" applyAlignment="1" applyProtection="1">
      <alignment horizontal="center"/>
    </xf>
    <xf numFmtId="0" fontId="26" fillId="2" borderId="0" xfId="0" applyFont="1" applyFill="1" applyAlignment="1" applyProtection="1">
      <alignment vertical="center"/>
    </xf>
    <xf numFmtId="0" fontId="26" fillId="0" borderId="0" xfId="0" applyFont="1" applyFill="1" applyAlignment="1" applyProtection="1">
      <alignment vertical="center"/>
    </xf>
    <xf numFmtId="4" fontId="10" fillId="0" borderId="0" xfId="1" applyNumberFormat="1" applyFont="1" applyFill="1" applyBorder="1" applyAlignment="1" applyProtection="1">
      <alignment horizontal="center" vertical="center"/>
    </xf>
    <xf numFmtId="4" fontId="12" fillId="0" borderId="9" xfId="1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16" xfId="1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2" fillId="0" borderId="0" xfId="1" applyFont="1" applyFill="1" applyBorder="1" applyAlignment="1" applyProtection="1">
      <alignment vertical="center"/>
    </xf>
    <xf numFmtId="4" fontId="4" fillId="0" borderId="0" xfId="1" applyNumberFormat="1" applyFont="1" applyFill="1" applyBorder="1" applyAlignment="1" applyProtection="1">
      <alignment horizontal="center" vertical="center"/>
    </xf>
    <xf numFmtId="0" fontId="6" fillId="7" borderId="0" xfId="0" applyFont="1" applyFill="1" applyAlignment="1" applyProtection="1">
      <alignment vertical="center"/>
    </xf>
    <xf numFmtId="0" fontId="2" fillId="7" borderId="0" xfId="1" applyFont="1" applyFill="1" applyAlignment="1" applyProtection="1">
      <alignment vertical="center"/>
    </xf>
    <xf numFmtId="0" fontId="28" fillId="0" borderId="10" xfId="1" applyFont="1" applyFill="1" applyBorder="1" applyAlignment="1" applyProtection="1">
      <alignment vertical="center"/>
    </xf>
    <xf numFmtId="0" fontId="29" fillId="3" borderId="0" xfId="0" applyFont="1" applyFill="1" applyBorder="1" applyAlignment="1" applyProtection="1">
      <alignment horizontal="left"/>
    </xf>
    <xf numFmtId="0" fontId="25" fillId="4" borderId="0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 vertical="center"/>
    </xf>
    <xf numFmtId="0" fontId="12" fillId="0" borderId="11" xfId="1" applyFont="1" applyFill="1" applyBorder="1" applyAlignment="1" applyProtection="1">
      <alignment vertical="center"/>
    </xf>
    <xf numFmtId="4" fontId="12" fillId="0" borderId="11" xfId="1" applyNumberFormat="1" applyFont="1" applyFill="1" applyBorder="1" applyAlignment="1" applyProtection="1">
      <alignment horizontal="center" vertical="center"/>
    </xf>
    <xf numFmtId="4" fontId="12" fillId="0" borderId="15" xfId="1" applyNumberFormat="1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vertical="center"/>
    </xf>
    <xf numFmtId="0" fontId="32" fillId="0" borderId="0" xfId="2" applyFont="1" applyFill="1" applyProtection="1"/>
    <xf numFmtId="3" fontId="33" fillId="0" borderId="0" xfId="2" applyNumberFormat="1" applyFont="1" applyFill="1" applyAlignment="1" applyProtection="1"/>
    <xf numFmtId="0" fontId="33" fillId="0" borderId="0" xfId="2" applyFont="1" applyProtection="1"/>
    <xf numFmtId="44" fontId="32" fillId="0" borderId="1" xfId="3" applyNumberFormat="1" applyFont="1" applyFill="1" applyBorder="1" applyAlignment="1" applyProtection="1">
      <alignment vertical="center"/>
    </xf>
    <xf numFmtId="0" fontId="0" fillId="0" borderId="0" xfId="0" applyAlignment="1" applyProtection="1"/>
    <xf numFmtId="0" fontId="27" fillId="0" borderId="0" xfId="0" applyFont="1" applyAlignment="1" applyProtection="1"/>
    <xf numFmtId="0" fontId="27" fillId="0" borderId="0" xfId="0" applyFont="1" applyFill="1" applyAlignment="1" applyProtection="1"/>
    <xf numFmtId="0" fontId="7" fillId="0" borderId="0" xfId="0" applyFont="1" applyFill="1" applyAlignment="1" applyProtection="1"/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/>
    <xf numFmtId="0" fontId="5" fillId="2" borderId="0" xfId="0" applyFont="1" applyFill="1" applyAlignment="1" applyProtection="1"/>
    <xf numFmtId="0" fontId="21" fillId="2" borderId="1" xfId="0" applyFont="1" applyFill="1" applyBorder="1" applyAlignment="1" applyProtection="1">
      <alignment horizontal="left" vertical="center"/>
    </xf>
    <xf numFmtId="44" fontId="6" fillId="0" borderId="0" xfId="0" applyNumberFormat="1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7" fillId="0" borderId="0" xfId="0" applyFont="1" applyFill="1" applyProtection="1"/>
    <xf numFmtId="0" fontId="9" fillId="0" borderId="11" xfId="0" applyFont="1" applyBorder="1" applyAlignment="1" applyProtection="1">
      <alignment horizontal="center"/>
      <protection locked="0"/>
    </xf>
    <xf numFmtId="0" fontId="5" fillId="0" borderId="17" xfId="0" applyFont="1" applyFill="1" applyBorder="1" applyAlignment="1" applyProtection="1">
      <alignment vertical="center"/>
    </xf>
    <xf numFmtId="0" fontId="22" fillId="5" borderId="4" xfId="0" applyFont="1" applyFill="1" applyBorder="1" applyAlignment="1" applyProtection="1">
      <alignment horizontal="center" vertical="center" wrapText="1"/>
    </xf>
    <xf numFmtId="0" fontId="22" fillId="5" borderId="0" xfId="0" applyFont="1" applyFill="1" applyBorder="1" applyAlignment="1" applyProtection="1">
      <alignment horizontal="center" vertical="center" wrapText="1"/>
    </xf>
    <xf numFmtId="2" fontId="26" fillId="0" borderId="0" xfId="0" applyNumberFormat="1" applyFont="1" applyFill="1" applyAlignment="1" applyProtection="1">
      <alignment vertical="center"/>
    </xf>
    <xf numFmtId="2" fontId="26" fillId="6" borderId="0" xfId="0" applyNumberFormat="1" applyFont="1" applyFill="1" applyAlignment="1" applyProtection="1">
      <alignment vertical="center"/>
    </xf>
    <xf numFmtId="2" fontId="26" fillId="2" borderId="0" xfId="0" applyNumberFormat="1" applyFont="1" applyFill="1" applyAlignment="1" applyProtection="1">
      <alignment vertical="center"/>
    </xf>
    <xf numFmtId="0" fontId="21" fillId="2" borderId="18" xfId="0" applyFont="1" applyFill="1" applyBorder="1" applyAlignment="1" applyProtection="1">
      <alignment horizontal="left" vertical="center"/>
    </xf>
    <xf numFmtId="44" fontId="27" fillId="8" borderId="14" xfId="3" quotePrefix="1" applyNumberFormat="1" applyFont="1" applyFill="1" applyBorder="1" applyAlignment="1" applyProtection="1">
      <alignment horizontal="center" vertical="center"/>
    </xf>
    <xf numFmtId="44" fontId="27" fillId="8" borderId="14" xfId="3" applyNumberFormat="1" applyFont="1" applyFill="1" applyBorder="1" applyAlignment="1" applyProtection="1">
      <alignment horizontal="center" vertical="center"/>
    </xf>
    <xf numFmtId="4" fontId="10" fillId="0" borderId="0" xfId="1" applyNumberFormat="1" applyFont="1" applyFill="1" applyBorder="1" applyAlignment="1" applyProtection="1">
      <alignment horizontal="center" vertical="center"/>
    </xf>
    <xf numFmtId="44" fontId="21" fillId="2" borderId="0" xfId="3" quotePrefix="1" applyFont="1" applyFill="1" applyBorder="1" applyAlignment="1" applyProtection="1">
      <alignment horizontal="left" vertical="center"/>
    </xf>
    <xf numFmtId="44" fontId="22" fillId="5" borderId="4" xfId="3" applyFont="1" applyFill="1" applyBorder="1" applyAlignment="1" applyProtection="1">
      <alignment horizontal="center" vertical="center" wrapText="1"/>
    </xf>
    <xf numFmtId="44" fontId="22" fillId="5" borderId="0" xfId="3" applyFont="1" applyFill="1" applyBorder="1" applyAlignment="1" applyProtection="1">
      <alignment horizontal="center" vertical="center" wrapText="1"/>
    </xf>
    <xf numFmtId="44" fontId="32" fillId="0" borderId="0" xfId="3" applyNumberFormat="1" applyFont="1" applyFill="1" applyBorder="1" applyAlignment="1" applyProtection="1">
      <alignment vertical="center"/>
    </xf>
    <xf numFmtId="44" fontId="34" fillId="8" borderId="2" xfId="5" applyNumberFormat="1" applyFont="1" applyFill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wrapText="1"/>
      <protection locked="0"/>
    </xf>
    <xf numFmtId="0" fontId="43" fillId="2" borderId="0" xfId="0" applyFont="1" applyFill="1" applyAlignment="1" applyProtection="1">
      <alignment vertical="center"/>
    </xf>
    <xf numFmtId="0" fontId="44" fillId="0" borderId="10" xfId="1" applyFont="1" applyFill="1" applyBorder="1" applyAlignment="1" applyProtection="1">
      <alignment vertical="center"/>
    </xf>
    <xf numFmtId="0" fontId="42" fillId="0" borderId="17" xfId="0" applyFont="1" applyFill="1" applyBorder="1" applyAlignment="1" applyProtection="1">
      <alignment vertical="center"/>
    </xf>
    <xf numFmtId="0" fontId="43" fillId="0" borderId="0" xfId="0" applyFont="1" applyFill="1" applyAlignment="1" applyProtection="1">
      <alignment vertical="center"/>
    </xf>
    <xf numFmtId="2" fontId="43" fillId="2" borderId="0" xfId="0" applyNumberFormat="1" applyFont="1" applyFill="1" applyAlignment="1" applyProtection="1">
      <alignment vertical="center"/>
    </xf>
    <xf numFmtId="44" fontId="27" fillId="8" borderId="20" xfId="3" applyNumberFormat="1" applyFont="1" applyFill="1" applyBorder="1" applyAlignment="1" applyProtection="1">
      <alignment horizontal="center" vertical="center"/>
    </xf>
    <xf numFmtId="0" fontId="46" fillId="0" borderId="0" xfId="0" applyFont="1" applyFill="1" applyAlignment="1" applyProtection="1">
      <alignment horizontal="center" vertical="center"/>
    </xf>
    <xf numFmtId="44" fontId="34" fillId="8" borderId="0" xfId="5" applyNumberFormat="1" applyFont="1" applyFill="1" applyBorder="1" applyAlignment="1" applyProtection="1">
      <alignment horizontal="center" vertical="center"/>
    </xf>
    <xf numFmtId="9" fontId="21" fillId="0" borderId="0" xfId="6" applyFont="1" applyFill="1" applyBorder="1" applyAlignment="1" applyProtection="1">
      <alignment horizontal="center"/>
    </xf>
    <xf numFmtId="0" fontId="6" fillId="0" borderId="20" xfId="0" applyFont="1" applyFill="1" applyBorder="1" applyAlignment="1" applyProtection="1">
      <alignment vertical="center"/>
    </xf>
    <xf numFmtId="0" fontId="20" fillId="5" borderId="0" xfId="0" applyFont="1" applyFill="1" applyAlignment="1">
      <alignment horizontal="center"/>
    </xf>
    <xf numFmtId="0" fontId="23" fillId="0" borderId="0" xfId="0" applyFont="1"/>
    <xf numFmtId="0" fontId="21" fillId="2" borderId="1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1" fontId="21" fillId="0" borderId="1" xfId="0" applyNumberFormat="1" applyFont="1" applyBorder="1" applyAlignment="1" applyProtection="1">
      <alignment horizontal="center" vertical="center"/>
      <protection locked="0"/>
    </xf>
    <xf numFmtId="0" fontId="21" fillId="2" borderId="21" xfId="0" applyFont="1" applyFill="1" applyBorder="1" applyAlignment="1">
      <alignment horizontal="left" vertical="center"/>
    </xf>
    <xf numFmtId="0" fontId="21" fillId="2" borderId="22" xfId="0" applyFont="1" applyFill="1" applyBorder="1" applyAlignment="1">
      <alignment horizontal="left" vertical="center"/>
    </xf>
    <xf numFmtId="1" fontId="2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1" fontId="21" fillId="9" borderId="23" xfId="0" applyNumberFormat="1" applyFont="1" applyFill="1" applyBorder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44" fontId="34" fillId="2" borderId="2" xfId="5" applyNumberFormat="1" applyFont="1" applyFill="1" applyBorder="1" applyAlignment="1" applyProtection="1">
      <alignment horizontal="center" vertical="center"/>
    </xf>
    <xf numFmtId="9" fontId="21" fillId="2" borderId="18" xfId="4" applyFont="1" applyFill="1" applyBorder="1" applyAlignment="1" applyProtection="1">
      <alignment horizontal="left" vertical="center"/>
    </xf>
    <xf numFmtId="44" fontId="34" fillId="2" borderId="0" xfId="5" applyNumberFormat="1" applyFont="1" applyFill="1" applyBorder="1" applyAlignment="1" applyProtection="1">
      <alignment horizontal="center" vertical="center"/>
    </xf>
    <xf numFmtId="0" fontId="20" fillId="0" borderId="0" xfId="0" applyFont="1" applyFill="1" applyAlignment="1">
      <alignment horizontal="center"/>
    </xf>
    <xf numFmtId="44" fontId="41" fillId="2" borderId="0" xfId="3" quotePrefix="1" applyFont="1" applyFill="1" applyBorder="1" applyAlignment="1" applyProtection="1">
      <alignment horizontal="left" vertical="center"/>
    </xf>
    <xf numFmtId="0" fontId="21" fillId="2" borderId="1" xfId="0" applyFont="1" applyFill="1" applyBorder="1" applyAlignment="1">
      <alignment horizontal="left" vertical="center" wrapText="1"/>
    </xf>
    <xf numFmtId="9" fontId="21" fillId="0" borderId="4" xfId="6" applyFont="1" applyFill="1" applyBorder="1" applyAlignment="1" applyProtection="1">
      <alignment horizontal="center"/>
    </xf>
    <xf numFmtId="44" fontId="27" fillId="8" borderId="19" xfId="5" applyNumberFormat="1" applyFont="1" applyFill="1" applyBorder="1" applyAlignment="1" applyProtection="1">
      <alignment horizontal="center" vertical="center"/>
    </xf>
    <xf numFmtId="4" fontId="18" fillId="5" borderId="12" xfId="0" applyNumberFormat="1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0" fontId="11" fillId="5" borderId="13" xfId="0" applyFont="1" applyFill="1" applyBorder="1" applyAlignment="1" applyProtection="1">
      <alignment horizontal="center" vertical="center" wrapText="1"/>
    </xf>
    <xf numFmtId="0" fontId="11" fillId="5" borderId="0" xfId="0" applyFont="1" applyFill="1" applyBorder="1" applyAlignment="1" applyProtection="1">
      <alignment horizontal="center" vertical="center" wrapText="1"/>
    </xf>
    <xf numFmtId="4" fontId="18" fillId="5" borderId="4" xfId="0" applyNumberFormat="1" applyFont="1" applyFill="1" applyBorder="1" applyAlignment="1" applyProtection="1">
      <alignment horizontal="center" vertical="center" wrapText="1"/>
    </xf>
    <xf numFmtId="4" fontId="18" fillId="5" borderId="13" xfId="0" applyNumberFormat="1" applyFont="1" applyFill="1" applyBorder="1" applyAlignment="1" applyProtection="1">
      <alignment horizontal="center" vertical="center" wrapText="1"/>
    </xf>
    <xf numFmtId="4" fontId="18" fillId="5" borderId="0" xfId="0" applyNumberFormat="1" applyFont="1" applyFill="1" applyBorder="1" applyAlignment="1" applyProtection="1">
      <alignment horizontal="center" vertical="center" wrapText="1"/>
    </xf>
    <xf numFmtId="4" fontId="48" fillId="5" borderId="13" xfId="0" applyNumberFormat="1" applyFont="1" applyFill="1" applyBorder="1" applyAlignment="1" applyProtection="1">
      <alignment horizontal="center" vertical="center" wrapText="1"/>
    </xf>
    <xf numFmtId="0" fontId="50" fillId="5" borderId="4" xfId="0" applyFont="1" applyFill="1" applyBorder="1" applyAlignment="1" applyProtection="1">
      <alignment horizontal="center" vertical="center" wrapText="1"/>
    </xf>
    <xf numFmtId="0" fontId="50" fillId="5" borderId="13" xfId="0" applyFont="1" applyFill="1" applyBorder="1" applyAlignment="1" applyProtection="1">
      <alignment horizontal="center" vertical="center" wrapText="1"/>
    </xf>
    <xf numFmtId="0" fontId="50" fillId="5" borderId="0" xfId="0" applyFont="1" applyFill="1" applyBorder="1" applyAlignment="1" applyProtection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40" fillId="0" borderId="0" xfId="0" applyFont="1" applyAlignment="1">
      <alignment vertical="center" wrapText="1"/>
    </xf>
    <xf numFmtId="4" fontId="19" fillId="4" borderId="0" xfId="1" applyNumberFormat="1" applyFont="1" applyFill="1" applyBorder="1" applyAlignment="1" applyProtection="1">
      <alignment horizontal="center" vertical="center" wrapText="1"/>
    </xf>
    <xf numFmtId="0" fontId="0" fillId="4" borderId="0" xfId="0" applyFill="1" applyAlignment="1" applyProtection="1">
      <alignment horizontal="center" wrapText="1"/>
    </xf>
    <xf numFmtId="0" fontId="22" fillId="5" borderId="5" xfId="0" applyFont="1" applyFill="1" applyBorder="1" applyAlignment="1" applyProtection="1">
      <alignment horizontal="center" vertical="center" wrapText="1"/>
    </xf>
    <xf numFmtId="4" fontId="48" fillId="5" borderId="12" xfId="0" applyNumberFormat="1" applyFont="1" applyFill="1" applyBorder="1" applyAlignment="1" applyProtection="1">
      <alignment horizontal="center" vertical="center" wrapText="1"/>
    </xf>
    <xf numFmtId="0" fontId="20" fillId="5" borderId="0" xfId="0" applyFont="1" applyFill="1" applyBorder="1" applyAlignment="1" applyProtection="1">
      <alignment horizontal="center" vertical="center"/>
    </xf>
    <xf numFmtId="0" fontId="23" fillId="5" borderId="0" xfId="0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horizontal="left"/>
    </xf>
    <xf numFmtId="0" fontId="27" fillId="4" borderId="0" xfId="0" applyFont="1" applyFill="1" applyAlignment="1" applyProtection="1"/>
    <xf numFmtId="0" fontId="22" fillId="5" borderId="3" xfId="0" applyFont="1" applyFill="1" applyBorder="1" applyAlignment="1" applyProtection="1">
      <alignment horizontal="center" vertical="center" wrapText="1"/>
    </xf>
    <xf numFmtId="4" fontId="9" fillId="0" borderId="0" xfId="1" applyNumberFormat="1" applyFont="1" applyFill="1" applyBorder="1" applyAlignment="1" applyProtection="1">
      <alignment horizontal="center" vertical="center"/>
    </xf>
    <xf numFmtId="4" fontId="10" fillId="0" borderId="0" xfId="1" applyNumberFormat="1" applyFont="1" applyFill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wrapText="1"/>
      <protection locked="0"/>
    </xf>
    <xf numFmtId="0" fontId="31" fillId="4" borderId="0" xfId="0" applyFont="1" applyFill="1" applyBorder="1" applyAlignment="1" applyProtection="1">
      <alignment horizontal="left" vertical="center" wrapText="1"/>
    </xf>
    <xf numFmtId="0" fontId="30" fillId="4" borderId="0" xfId="0" applyFont="1" applyFill="1" applyAlignment="1" applyProtection="1">
      <alignment horizontal="left" vertical="center" wrapText="1"/>
    </xf>
    <xf numFmtId="0" fontId="15" fillId="0" borderId="11" xfId="0" applyFont="1" applyBorder="1" applyAlignment="1" applyProtection="1">
      <alignment horizontal="left" wrapText="1"/>
      <protection locked="0"/>
    </xf>
    <xf numFmtId="0" fontId="25" fillId="4" borderId="0" xfId="0" applyFont="1" applyFill="1" applyBorder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49" fillId="0" borderId="13" xfId="0" applyFont="1" applyBorder="1" applyAlignment="1">
      <alignment horizontal="center" vertical="center" wrapText="1"/>
    </xf>
  </cellXfs>
  <cellStyles count="7">
    <cellStyle name="Comma" xfId="5" builtinId="3"/>
    <cellStyle name="Currency" xfId="3" builtinId="4"/>
    <cellStyle name="Normal" xfId="0" builtinId="0"/>
    <cellStyle name="Normal 2" xfId="2" xr:uid="{00000000-0005-0000-0000-000003000000}"/>
    <cellStyle name="Normal_Geral 01.11.98" xfId="1" xr:uid="{00000000-0005-0000-0000-000004000000}"/>
    <cellStyle name="Percent" xfId="6" builtinId="5"/>
    <cellStyle name="Percent 2" xfId="4" xr:uid="{00000000-0005-0000-0000-000006000000}"/>
  </cellStyles>
  <dxfs count="0"/>
  <tableStyles count="0" defaultTableStyle="TableStyleMedium9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3949700</xdr:colOff>
      <xdr:row>0</xdr:row>
      <xdr:rowOff>165743</xdr:rowOff>
    </xdr:from>
    <xdr:to>
      <xdr:col>6</xdr:col>
      <xdr:colOff>975711</xdr:colOff>
      <xdr:row>1</xdr:row>
      <xdr:rowOff>701924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165743"/>
          <a:ext cx="3947511" cy="1018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  <pageSetUpPr fitToPage="1"/>
  </sheetPr>
  <dimension ref="A1:AB398"/>
  <sheetViews>
    <sheetView showGridLines="0" tabSelected="1" zoomScale="75" zoomScaleNormal="75" workbookViewId="0">
      <pane ySplit="2" topLeftCell="A3" activePane="bottomLeft" state="frozen"/>
      <selection pane="bottomLeft" activeCell="G8" sqref="G8:M8"/>
    </sheetView>
  </sheetViews>
  <sheetFormatPr defaultRowHeight="12.75"/>
  <cols>
    <col min="1" max="1" width="1.140625" style="11" customWidth="1"/>
    <col min="2" max="2" width="0.7109375" style="2" customWidth="1"/>
    <col min="3" max="3" width="103.85546875" style="2" customWidth="1"/>
    <col min="4" max="4" width="54" style="2" hidden="1" customWidth="1"/>
    <col min="5" max="5" width="35.5703125" style="8" hidden="1" customWidth="1"/>
    <col min="6" max="6" width="75.140625" style="8" hidden="1" customWidth="1"/>
    <col min="7" max="8" width="17.7109375" style="2" customWidth="1"/>
    <col min="9" max="9" width="3.85546875" style="2" customWidth="1"/>
    <col min="10" max="10" width="20" style="2" customWidth="1"/>
    <col min="11" max="11" width="21.140625" style="2" customWidth="1"/>
    <col min="12" max="12" width="3.7109375" style="2" customWidth="1"/>
    <col min="13" max="13" width="27.85546875" style="2" customWidth="1"/>
    <col min="14" max="14" width="0.7109375" style="2" customWidth="1"/>
    <col min="15" max="15" width="2.7109375" style="1" customWidth="1"/>
    <col min="16" max="16" width="22.42578125" style="1" hidden="1" customWidth="1"/>
    <col min="17" max="17" width="9.140625" style="1" hidden="1" customWidth="1"/>
    <col min="18" max="18" width="18.42578125" style="1" hidden="1" customWidth="1"/>
    <col min="19" max="28" width="9.140625" style="1" hidden="1" customWidth="1"/>
    <col min="29" max="16384" width="9.140625" style="1"/>
  </cols>
  <sheetData>
    <row r="1" spans="1:19" s="2" customFormat="1" ht="38.25" customHeight="1">
      <c r="A1" s="11"/>
      <c r="B1" s="3"/>
      <c r="E1" s="4"/>
      <c r="F1" s="4"/>
    </row>
    <row r="2" spans="1:19" s="36" customFormat="1" ht="58.5" customHeight="1">
      <c r="A2" s="38"/>
      <c r="B2" s="39"/>
      <c r="E2" s="40"/>
      <c r="F2" s="40"/>
    </row>
    <row r="3" spans="1:19" s="2" customFormat="1" ht="23.1" customHeight="1">
      <c r="A3" s="11"/>
      <c r="B3" s="42"/>
      <c r="C3" s="129" t="s">
        <v>9</v>
      </c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41"/>
      <c r="P3" s="36"/>
    </row>
    <row r="4" spans="1:19" s="2" customFormat="1" ht="23.1" customHeight="1">
      <c r="A4" s="11"/>
      <c r="B4" s="42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41"/>
    </row>
    <row r="5" spans="1:19" s="2" customFormat="1" ht="20.25" customHeight="1">
      <c r="A5" s="11"/>
      <c r="B5" s="3"/>
      <c r="C5" s="138" t="s">
        <v>8</v>
      </c>
      <c r="D5" s="138"/>
      <c r="E5" s="138"/>
      <c r="F5" s="138"/>
      <c r="G5" s="138"/>
      <c r="H5" s="138"/>
      <c r="I5" s="138"/>
      <c r="J5" s="138"/>
      <c r="K5" s="138"/>
      <c r="L5" s="138"/>
      <c r="M5" s="138"/>
    </row>
    <row r="6" spans="1:19" s="2" customFormat="1" ht="15.75">
      <c r="A6" s="11"/>
      <c r="B6" s="3"/>
      <c r="C6" s="139" t="s">
        <v>154</v>
      </c>
      <c r="D6" s="139"/>
      <c r="E6" s="139"/>
      <c r="F6" s="139"/>
      <c r="G6" s="139"/>
      <c r="H6" s="139"/>
      <c r="I6" s="139"/>
      <c r="J6" s="139"/>
      <c r="K6" s="139"/>
      <c r="L6" s="139"/>
      <c r="M6" s="139"/>
    </row>
    <row r="7" spans="1:19" s="2" customFormat="1" ht="3.75" customHeight="1">
      <c r="A7" s="11"/>
      <c r="B7" s="3"/>
      <c r="C7" s="34"/>
      <c r="D7" s="76"/>
      <c r="E7" s="34"/>
      <c r="F7" s="34"/>
      <c r="G7" s="34"/>
      <c r="H7" s="34"/>
      <c r="I7" s="34"/>
      <c r="J7" s="34"/>
      <c r="K7" s="34"/>
      <c r="L7" s="34"/>
      <c r="M7" s="34"/>
    </row>
    <row r="8" spans="1:19" s="55" customFormat="1" ht="21">
      <c r="B8" s="135" t="s">
        <v>25</v>
      </c>
      <c r="C8" s="136"/>
      <c r="D8" s="136"/>
      <c r="E8" s="136"/>
      <c r="F8" s="44"/>
      <c r="G8" s="144"/>
      <c r="H8" s="144"/>
      <c r="I8" s="144"/>
      <c r="J8" s="144"/>
      <c r="K8" s="144"/>
      <c r="L8" s="144"/>
      <c r="M8" s="144"/>
    </row>
    <row r="9" spans="1:19" s="55" customFormat="1" ht="5.0999999999999996" customHeight="1">
      <c r="B9" s="56"/>
      <c r="C9" s="56"/>
      <c r="D9" s="56"/>
      <c r="E9" s="57"/>
      <c r="F9" s="58"/>
      <c r="G9" s="58"/>
      <c r="H9" s="58"/>
      <c r="I9" s="59"/>
      <c r="J9" s="59"/>
      <c r="K9" s="59"/>
      <c r="L9" s="59"/>
      <c r="M9" s="59"/>
    </row>
    <row r="10" spans="1:19" s="55" customFormat="1" ht="21">
      <c r="B10" s="135" t="s">
        <v>26</v>
      </c>
      <c r="C10" s="136"/>
      <c r="D10" s="136"/>
      <c r="E10" s="136"/>
      <c r="F10" s="44"/>
      <c r="G10" s="144"/>
      <c r="H10" s="144"/>
      <c r="I10" s="144"/>
      <c r="J10" s="144"/>
      <c r="K10" s="144"/>
      <c r="L10" s="144"/>
      <c r="M10" s="144"/>
    </row>
    <row r="11" spans="1:19" s="55" customFormat="1" ht="5.0999999999999996" customHeight="1">
      <c r="B11" s="56"/>
      <c r="C11" s="56"/>
      <c r="D11" s="56"/>
      <c r="E11" s="57"/>
      <c r="F11" s="58"/>
      <c r="G11" s="58"/>
      <c r="H11" s="58"/>
      <c r="I11" s="59"/>
      <c r="J11" s="59"/>
      <c r="K11" s="59"/>
      <c r="L11" s="59"/>
      <c r="M11" s="59"/>
    </row>
    <row r="12" spans="1:19" s="55" customFormat="1" ht="21">
      <c r="B12" s="135" t="s">
        <v>28</v>
      </c>
      <c r="C12" s="136"/>
      <c r="D12" s="136"/>
      <c r="E12" s="136"/>
      <c r="F12" s="44"/>
      <c r="G12" s="82"/>
      <c r="H12" s="45" t="s">
        <v>29</v>
      </c>
      <c r="I12" s="141"/>
      <c r="J12" s="141"/>
      <c r="K12" s="141"/>
      <c r="L12" s="141"/>
      <c r="M12" s="141"/>
    </row>
    <row r="13" spans="1:19" s="55" customFormat="1" ht="5.0999999999999996" customHeight="1">
      <c r="B13" s="56"/>
      <c r="C13" s="56"/>
      <c r="D13" s="56"/>
      <c r="E13" s="57"/>
      <c r="F13" s="58"/>
      <c r="G13" s="58"/>
      <c r="H13" s="58"/>
      <c r="I13" s="59"/>
      <c r="J13" s="59"/>
      <c r="K13" s="59"/>
      <c r="L13" s="59"/>
      <c r="M13" s="59"/>
    </row>
    <row r="14" spans="1:19" s="55" customFormat="1" ht="21">
      <c r="B14" s="135" t="s">
        <v>27</v>
      </c>
      <c r="C14" s="136"/>
      <c r="D14" s="136"/>
      <c r="E14" s="136"/>
      <c r="F14" s="44"/>
      <c r="G14" s="140"/>
      <c r="H14" s="140"/>
      <c r="I14" s="140"/>
      <c r="J14" s="140"/>
      <c r="K14" s="145" t="s">
        <v>30</v>
      </c>
      <c r="L14" s="146"/>
      <c r="M14" s="66"/>
    </row>
    <row r="15" spans="1:19" s="55" customFormat="1" ht="5.0999999999999996" customHeight="1">
      <c r="B15" s="56"/>
      <c r="C15" s="56"/>
      <c r="D15" s="56"/>
      <c r="E15" s="57"/>
      <c r="F15" s="58"/>
      <c r="G15" s="58"/>
      <c r="H15" s="58"/>
      <c r="I15" s="59"/>
      <c r="J15" s="59"/>
      <c r="K15" s="59"/>
      <c r="L15" s="59"/>
      <c r="M15" s="59"/>
    </row>
    <row r="16" spans="1:19" s="60" customFormat="1" ht="19.5" customHeight="1">
      <c r="B16" s="142" t="s">
        <v>36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61"/>
      <c r="O16" s="61"/>
      <c r="P16" s="61"/>
      <c r="Q16" s="61"/>
      <c r="R16" s="61"/>
      <c r="S16" s="61"/>
    </row>
    <row r="17" spans="1:18" s="2" customFormat="1" ht="3.75" customHeight="1">
      <c r="A17" s="11"/>
      <c r="B17" s="3"/>
      <c r="C17" s="13"/>
      <c r="D17" s="13"/>
      <c r="E17" s="14"/>
      <c r="F17" s="14"/>
      <c r="G17" s="13"/>
      <c r="H17" s="13"/>
      <c r="I17" s="13"/>
      <c r="J17" s="13"/>
      <c r="K17" s="13"/>
      <c r="L17" s="13"/>
      <c r="M17" s="13"/>
    </row>
    <row r="18" spans="1:18" s="2" customFormat="1" ht="4.5" customHeight="1">
      <c r="A18" s="11"/>
      <c r="B18" s="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35"/>
    </row>
    <row r="19" spans="1:18" s="2" customFormat="1" ht="20.100000000000001" customHeight="1">
      <c r="A19" s="11"/>
      <c r="B19" s="27"/>
      <c r="C19" s="137" t="s">
        <v>55</v>
      </c>
      <c r="D19" s="68"/>
      <c r="E19" s="132" t="s">
        <v>237</v>
      </c>
      <c r="F19" s="132" t="s">
        <v>236</v>
      </c>
      <c r="G19" s="133" t="s">
        <v>31</v>
      </c>
      <c r="H19" s="134"/>
      <c r="I19" s="13"/>
      <c r="J19" s="29" t="s">
        <v>0</v>
      </c>
      <c r="K19" s="29" t="s">
        <v>1</v>
      </c>
      <c r="L19" s="30"/>
      <c r="M19" s="29" t="s">
        <v>65</v>
      </c>
      <c r="N19" s="50"/>
    </row>
    <row r="20" spans="1:18" s="2" customFormat="1" ht="20.100000000000001" customHeight="1">
      <c r="A20" s="11"/>
      <c r="B20" s="27"/>
      <c r="C20" s="131"/>
      <c r="D20" s="69" t="s">
        <v>230</v>
      </c>
      <c r="E20" s="147"/>
      <c r="F20" s="147"/>
      <c r="G20" s="28" t="s">
        <v>5</v>
      </c>
      <c r="H20" s="28" t="s">
        <v>6</v>
      </c>
      <c r="I20" s="13"/>
      <c r="J20" s="29" t="s">
        <v>2</v>
      </c>
      <c r="K20" s="29" t="s">
        <v>24</v>
      </c>
      <c r="L20" s="30"/>
      <c r="M20" s="29" t="s">
        <v>3</v>
      </c>
      <c r="N20" s="50"/>
    </row>
    <row r="21" spans="1:18" s="33" customFormat="1" ht="18.95" customHeight="1">
      <c r="A21" s="32"/>
      <c r="B21" s="43"/>
      <c r="C21" s="73" t="s">
        <v>74</v>
      </c>
      <c r="D21" s="77" t="s">
        <v>233</v>
      </c>
      <c r="E21" s="74">
        <v>3.99</v>
      </c>
      <c r="F21" s="31">
        <v>0.13</v>
      </c>
      <c r="G21" s="23"/>
      <c r="H21" s="23"/>
      <c r="I21" s="26"/>
      <c r="J21" s="23"/>
      <c r="K21" s="23"/>
      <c r="L21" s="26"/>
      <c r="M21" s="25">
        <f t="shared" ref="M21:M24" si="0">((G21*E21*2)+(H21*E21*3)+(J21*E21*6)+(E21*K21))</f>
        <v>0</v>
      </c>
      <c r="N21" s="50"/>
      <c r="R21" s="72">
        <f t="shared" ref="R21:R55" si="1">E21/(1+F21)</f>
        <v>3.530973451327434</v>
      </c>
    </row>
    <row r="22" spans="1:18" s="33" customFormat="1" ht="18.95" customHeight="1">
      <c r="A22" s="32"/>
      <c r="B22" s="43"/>
      <c r="C22" s="73" t="s">
        <v>71</v>
      </c>
      <c r="D22" s="77" t="s">
        <v>233</v>
      </c>
      <c r="E22" s="74">
        <v>3.99</v>
      </c>
      <c r="F22" s="31">
        <v>0.13</v>
      </c>
      <c r="G22" s="23"/>
      <c r="H22" s="23"/>
      <c r="I22" s="26"/>
      <c r="J22" s="23"/>
      <c r="K22" s="23"/>
      <c r="L22" s="26"/>
      <c r="M22" s="25">
        <f t="shared" si="0"/>
        <v>0</v>
      </c>
      <c r="N22" s="50"/>
      <c r="R22" s="72">
        <f t="shared" si="1"/>
        <v>3.530973451327434</v>
      </c>
    </row>
    <row r="23" spans="1:18" s="33" customFormat="1" ht="18.95" customHeight="1">
      <c r="A23" s="32"/>
      <c r="B23" s="43"/>
      <c r="C23" s="73" t="s">
        <v>72</v>
      </c>
      <c r="D23" s="77" t="s">
        <v>233</v>
      </c>
      <c r="E23" s="88">
        <v>3.49</v>
      </c>
      <c r="F23" s="31">
        <v>0.13</v>
      </c>
      <c r="G23" s="23"/>
      <c r="H23" s="23"/>
      <c r="I23" s="26"/>
      <c r="J23" s="23"/>
      <c r="K23" s="23"/>
      <c r="L23" s="26"/>
      <c r="M23" s="25">
        <f t="shared" si="0"/>
        <v>0</v>
      </c>
      <c r="N23" s="50"/>
      <c r="R23" s="72">
        <f t="shared" si="1"/>
        <v>3.0884955752212395</v>
      </c>
    </row>
    <row r="24" spans="1:18" s="33" customFormat="1" ht="18.95" customHeight="1">
      <c r="A24" s="32"/>
      <c r="B24" s="43"/>
      <c r="C24" s="73" t="s">
        <v>73</v>
      </c>
      <c r="D24" s="110" t="s">
        <v>231</v>
      </c>
      <c r="E24" s="88">
        <v>3.49</v>
      </c>
      <c r="F24" s="31">
        <v>0.13</v>
      </c>
      <c r="G24" s="23"/>
      <c r="H24" s="23"/>
      <c r="I24" s="26"/>
      <c r="J24" s="23"/>
      <c r="K24" s="23"/>
      <c r="L24" s="26"/>
      <c r="M24" s="25">
        <f t="shared" si="0"/>
        <v>0</v>
      </c>
      <c r="N24" s="50"/>
      <c r="R24" s="72">
        <f t="shared" si="1"/>
        <v>3.0884955752212395</v>
      </c>
    </row>
    <row r="25" spans="1:18" s="33" customFormat="1" ht="18.95" customHeight="1">
      <c r="A25" s="32"/>
      <c r="B25" s="43"/>
      <c r="C25" s="73" t="s">
        <v>142</v>
      </c>
      <c r="D25" s="77" t="s">
        <v>232</v>
      </c>
      <c r="E25" s="74">
        <v>4.99</v>
      </c>
      <c r="F25" s="31">
        <v>0.13</v>
      </c>
      <c r="G25" s="23"/>
      <c r="H25" s="23"/>
      <c r="I25" s="26"/>
      <c r="J25" s="23"/>
      <c r="K25" s="23"/>
      <c r="L25" s="26"/>
      <c r="M25" s="25">
        <f t="shared" ref="M25:M35" si="2">((G25*E25*2)+(H25*E25*3)+(J25*E25*6)+(E25*K25))</f>
        <v>0</v>
      </c>
      <c r="N25" s="50"/>
      <c r="R25" s="72">
        <f t="shared" si="1"/>
        <v>4.4159292035398234</v>
      </c>
    </row>
    <row r="26" spans="1:18" s="33" customFormat="1" ht="18.95" customHeight="1">
      <c r="A26" s="32"/>
      <c r="B26" s="43"/>
      <c r="C26" s="73" t="s">
        <v>153</v>
      </c>
      <c r="D26" s="77" t="s">
        <v>232</v>
      </c>
      <c r="E26" s="74">
        <v>4.99</v>
      </c>
      <c r="F26" s="31">
        <v>0.13</v>
      </c>
      <c r="G26" s="23"/>
      <c r="H26" s="23"/>
      <c r="I26" s="26"/>
      <c r="J26" s="23"/>
      <c r="K26" s="23"/>
      <c r="L26" s="26"/>
      <c r="M26" s="25">
        <f t="shared" si="2"/>
        <v>0</v>
      </c>
      <c r="N26" s="50"/>
      <c r="R26" s="72">
        <f t="shared" si="1"/>
        <v>4.4159292035398234</v>
      </c>
    </row>
    <row r="27" spans="1:18" s="33" customFormat="1" ht="18.95" customHeight="1">
      <c r="A27" s="32"/>
      <c r="B27" s="43"/>
      <c r="C27" s="73" t="s">
        <v>143</v>
      </c>
      <c r="D27" s="77" t="s">
        <v>233</v>
      </c>
      <c r="E27" s="74">
        <v>9.99</v>
      </c>
      <c r="F27" s="31">
        <v>0.13</v>
      </c>
      <c r="G27" s="46"/>
      <c r="H27" s="46"/>
      <c r="I27" s="26"/>
      <c r="J27" s="23"/>
      <c r="K27" s="23"/>
      <c r="L27" s="26"/>
      <c r="M27" s="25">
        <f>(E27*K27)+(J27*E27*3)</f>
        <v>0</v>
      </c>
      <c r="N27" s="50"/>
      <c r="R27" s="72">
        <f t="shared" si="1"/>
        <v>8.840707964601771</v>
      </c>
    </row>
    <row r="28" spans="1:18" s="33" customFormat="1" ht="18.95" customHeight="1">
      <c r="A28" s="32"/>
      <c r="B28" s="43"/>
      <c r="C28" s="73" t="s">
        <v>144</v>
      </c>
      <c r="D28" s="110" t="s">
        <v>231</v>
      </c>
      <c r="E28" s="75">
        <v>7.49</v>
      </c>
      <c r="F28" s="31">
        <v>0.13</v>
      </c>
      <c r="G28" s="23"/>
      <c r="H28" s="23"/>
      <c r="I28" s="26"/>
      <c r="J28" s="23"/>
      <c r="K28" s="23"/>
      <c r="L28" s="26"/>
      <c r="M28" s="25">
        <f t="shared" si="2"/>
        <v>0</v>
      </c>
      <c r="N28" s="50"/>
      <c r="R28" s="72">
        <f t="shared" si="1"/>
        <v>6.6283185840707972</v>
      </c>
    </row>
    <row r="29" spans="1:18" s="33" customFormat="1" ht="18.95" customHeight="1">
      <c r="A29" s="32"/>
      <c r="B29" s="43"/>
      <c r="C29" s="73" t="s">
        <v>155</v>
      </c>
      <c r="D29" s="77" t="s">
        <v>232</v>
      </c>
      <c r="E29" s="75">
        <v>7.49</v>
      </c>
      <c r="F29" s="31">
        <v>0.13</v>
      </c>
      <c r="G29" s="23"/>
      <c r="H29" s="23"/>
      <c r="I29" s="26"/>
      <c r="J29" s="23"/>
      <c r="K29" s="23"/>
      <c r="L29" s="26"/>
      <c r="M29" s="25">
        <f t="shared" si="2"/>
        <v>0</v>
      </c>
      <c r="N29" s="50"/>
      <c r="R29" s="72">
        <f t="shared" si="1"/>
        <v>6.6283185840707972</v>
      </c>
    </row>
    <row r="30" spans="1:18" s="33" customFormat="1" ht="18.95" customHeight="1">
      <c r="A30" s="32"/>
      <c r="B30" s="43"/>
      <c r="C30" s="73" t="s">
        <v>156</v>
      </c>
      <c r="D30" s="77" t="s">
        <v>233</v>
      </c>
      <c r="E30" s="75">
        <v>16.989999999999998</v>
      </c>
      <c r="F30" s="31">
        <v>0.13</v>
      </c>
      <c r="G30" s="46"/>
      <c r="H30" s="46"/>
      <c r="I30" s="26"/>
      <c r="J30" s="46"/>
      <c r="K30" s="23"/>
      <c r="L30" s="26"/>
      <c r="M30" s="25">
        <f>(E30*K30)</f>
        <v>0</v>
      </c>
      <c r="N30" s="50"/>
      <c r="R30" s="72">
        <f t="shared" ref="R30" si="3">E30/(1+F30)</f>
        <v>15.035398230088495</v>
      </c>
    </row>
    <row r="31" spans="1:18" s="33" customFormat="1" ht="18.95" customHeight="1">
      <c r="A31" s="32"/>
      <c r="B31" s="43"/>
      <c r="C31" s="73" t="s">
        <v>145</v>
      </c>
      <c r="D31" s="77" t="s">
        <v>232</v>
      </c>
      <c r="E31" s="75">
        <v>8.99</v>
      </c>
      <c r="F31" s="31">
        <v>0.13</v>
      </c>
      <c r="G31" s="23"/>
      <c r="H31" s="23"/>
      <c r="I31" s="26"/>
      <c r="J31" s="23"/>
      <c r="K31" s="23"/>
      <c r="L31" s="26"/>
      <c r="M31" s="25">
        <f t="shared" si="2"/>
        <v>0</v>
      </c>
      <c r="N31" s="50"/>
      <c r="R31" s="72">
        <f t="shared" si="1"/>
        <v>7.9557522123893811</v>
      </c>
    </row>
    <row r="32" spans="1:18" s="33" customFormat="1" ht="18.95" customHeight="1">
      <c r="A32" s="32"/>
      <c r="B32" s="43"/>
      <c r="C32" s="73" t="s">
        <v>146</v>
      </c>
      <c r="D32" s="77" t="s">
        <v>232</v>
      </c>
      <c r="E32" s="75">
        <v>8.99</v>
      </c>
      <c r="F32" s="31">
        <v>0.13</v>
      </c>
      <c r="G32" s="23"/>
      <c r="H32" s="23"/>
      <c r="I32" s="26"/>
      <c r="J32" s="23"/>
      <c r="K32" s="23"/>
      <c r="L32" s="26"/>
      <c r="M32" s="25">
        <f t="shared" si="2"/>
        <v>0</v>
      </c>
      <c r="N32" s="50"/>
      <c r="R32" s="72">
        <f t="shared" si="1"/>
        <v>7.9557522123893811</v>
      </c>
    </row>
    <row r="33" spans="1:18" s="33" customFormat="1" ht="18.95" customHeight="1">
      <c r="A33" s="32"/>
      <c r="B33" s="43"/>
      <c r="C33" s="73" t="s">
        <v>147</v>
      </c>
      <c r="D33" s="77" t="s">
        <v>233</v>
      </c>
      <c r="E33" s="75">
        <v>9.99</v>
      </c>
      <c r="F33" s="31">
        <v>0.13</v>
      </c>
      <c r="G33" s="23"/>
      <c r="H33" s="23"/>
      <c r="I33" s="26"/>
      <c r="J33" s="23"/>
      <c r="K33" s="23"/>
      <c r="L33" s="26"/>
      <c r="M33" s="25">
        <f t="shared" si="2"/>
        <v>0</v>
      </c>
      <c r="N33" s="50"/>
      <c r="R33" s="72">
        <f t="shared" si="1"/>
        <v>8.840707964601771</v>
      </c>
    </row>
    <row r="34" spans="1:18" s="33" customFormat="1" ht="18.95" customHeight="1">
      <c r="A34" s="32"/>
      <c r="B34" s="43"/>
      <c r="C34" s="73" t="s">
        <v>148</v>
      </c>
      <c r="D34" s="77" t="s">
        <v>233</v>
      </c>
      <c r="E34" s="75">
        <v>19.989999999999998</v>
      </c>
      <c r="F34" s="31">
        <v>0.13</v>
      </c>
      <c r="G34" s="46"/>
      <c r="H34" s="46"/>
      <c r="I34" s="26"/>
      <c r="J34" s="23"/>
      <c r="K34" s="23"/>
      <c r="L34" s="26"/>
      <c r="M34" s="25">
        <f>(E34*K34)+(J34*E34*3)</f>
        <v>0</v>
      </c>
      <c r="N34" s="50"/>
      <c r="R34" s="72">
        <f t="shared" si="1"/>
        <v>17.690265486725664</v>
      </c>
    </row>
    <row r="35" spans="1:18" s="33" customFormat="1" ht="18.95" customHeight="1">
      <c r="A35" s="32"/>
      <c r="B35" s="43"/>
      <c r="C35" s="73" t="s">
        <v>149</v>
      </c>
      <c r="D35" s="77" t="s">
        <v>232</v>
      </c>
      <c r="E35" s="75">
        <v>16.989999999999998</v>
      </c>
      <c r="F35" s="31">
        <v>0.13</v>
      </c>
      <c r="G35" s="23"/>
      <c r="H35" s="23"/>
      <c r="I35" s="26"/>
      <c r="J35" s="23"/>
      <c r="K35" s="23"/>
      <c r="L35" s="26"/>
      <c r="M35" s="25">
        <f t="shared" si="2"/>
        <v>0</v>
      </c>
      <c r="N35" s="50"/>
      <c r="R35" s="72">
        <f t="shared" si="1"/>
        <v>15.035398230088495</v>
      </c>
    </row>
    <row r="36" spans="1:18" s="33" customFormat="1" ht="18.95" customHeight="1">
      <c r="A36" s="32"/>
      <c r="B36" s="43"/>
      <c r="C36" s="73" t="s">
        <v>150</v>
      </c>
      <c r="D36" s="77" t="s">
        <v>233</v>
      </c>
      <c r="E36" s="75">
        <v>39.49</v>
      </c>
      <c r="F36" s="31">
        <v>0.13</v>
      </c>
      <c r="G36" s="46"/>
      <c r="H36" s="46"/>
      <c r="I36" s="26"/>
      <c r="J36" s="23"/>
      <c r="K36" s="23"/>
      <c r="L36" s="26"/>
      <c r="M36" s="25">
        <f>(E36*K36)+(J36*E36*3)</f>
        <v>0</v>
      </c>
      <c r="N36" s="50"/>
      <c r="R36" s="72">
        <f t="shared" si="1"/>
        <v>34.946902654867259</v>
      </c>
    </row>
    <row r="37" spans="1:18" s="33" customFormat="1" ht="18.95" customHeight="1">
      <c r="A37" s="32"/>
      <c r="B37" s="43"/>
      <c r="C37" s="73" t="s">
        <v>157</v>
      </c>
      <c r="D37" s="77" t="s">
        <v>232</v>
      </c>
      <c r="E37" s="75">
        <v>28.99</v>
      </c>
      <c r="F37" s="31">
        <v>0.13</v>
      </c>
      <c r="G37" s="23"/>
      <c r="H37" s="23"/>
      <c r="I37" s="26"/>
      <c r="J37" s="23"/>
      <c r="K37" s="23"/>
      <c r="L37" s="26"/>
      <c r="M37" s="25">
        <f>((G37*E37*2)+(H37*E37*3)+(J37*E37*6)+(E37*K37))</f>
        <v>0</v>
      </c>
      <c r="N37" s="50"/>
      <c r="R37" s="72">
        <f t="shared" ref="R37" si="4">E37/(1+F37)</f>
        <v>25.654867256637168</v>
      </c>
    </row>
    <row r="38" spans="1:18" s="33" customFormat="1" ht="18.95" customHeight="1">
      <c r="A38" s="32"/>
      <c r="B38" s="43"/>
      <c r="C38" s="73" t="s">
        <v>151</v>
      </c>
      <c r="D38" s="77" t="s">
        <v>232</v>
      </c>
      <c r="E38" s="75">
        <v>44.99</v>
      </c>
      <c r="F38" s="31">
        <v>0.13</v>
      </c>
      <c r="G38" s="23"/>
      <c r="H38" s="23"/>
      <c r="I38" s="26"/>
      <c r="J38" s="23"/>
      <c r="K38" s="23"/>
      <c r="L38" s="26"/>
      <c r="M38" s="25">
        <f>((G38*E38*2)+(H38*E38*3)+(J38*E38*6)+(E38*K38))</f>
        <v>0</v>
      </c>
      <c r="N38" s="50"/>
      <c r="R38" s="72">
        <f t="shared" si="1"/>
        <v>39.814159292035406</v>
      </c>
    </row>
    <row r="39" spans="1:18" s="33" customFormat="1" ht="18.95" customHeight="1">
      <c r="A39" s="32"/>
      <c r="B39" s="43"/>
      <c r="C39" s="73" t="s">
        <v>152</v>
      </c>
      <c r="D39" s="77" t="s">
        <v>232</v>
      </c>
      <c r="E39" s="75">
        <v>95</v>
      </c>
      <c r="F39" s="31">
        <v>0.13</v>
      </c>
      <c r="G39" s="46"/>
      <c r="H39" s="46"/>
      <c r="I39" s="26"/>
      <c r="J39" s="23"/>
      <c r="K39" s="23"/>
      <c r="L39" s="26"/>
      <c r="M39" s="25">
        <f>(E39*K39)+(J39*E39*3)</f>
        <v>0</v>
      </c>
      <c r="N39" s="50"/>
      <c r="R39" s="72">
        <f t="shared" si="1"/>
        <v>84.070796460176993</v>
      </c>
    </row>
    <row r="40" spans="1:18" s="33" customFormat="1" ht="18.95" hidden="1" customHeight="1">
      <c r="A40" s="32"/>
      <c r="B40" s="43"/>
      <c r="C40" s="73" t="s">
        <v>86</v>
      </c>
      <c r="D40" s="77"/>
      <c r="E40" s="75">
        <v>74.98</v>
      </c>
      <c r="F40" s="31">
        <v>0.13</v>
      </c>
      <c r="G40" s="23"/>
      <c r="H40" s="23"/>
      <c r="I40" s="26"/>
      <c r="K40" s="23"/>
      <c r="L40" s="26"/>
      <c r="M40" s="25">
        <f>((G40*E40*2)+(H40*E40*3)+(K40*E40))</f>
        <v>0</v>
      </c>
      <c r="N40" s="50"/>
      <c r="R40" s="72">
        <f t="shared" si="1"/>
        <v>66.353982300884965</v>
      </c>
    </row>
    <row r="41" spans="1:18" s="33" customFormat="1" ht="18.95" customHeight="1">
      <c r="A41" s="32"/>
      <c r="B41" s="43"/>
      <c r="C41" s="73" t="s">
        <v>158</v>
      </c>
      <c r="D41" s="77" t="s">
        <v>233</v>
      </c>
      <c r="E41" s="75">
        <v>36.49</v>
      </c>
      <c r="F41" s="31">
        <v>0.13</v>
      </c>
      <c r="G41" s="23"/>
      <c r="H41" s="23"/>
      <c r="I41" s="26"/>
      <c r="J41" s="24"/>
      <c r="K41" s="24"/>
      <c r="L41" s="26"/>
      <c r="M41" s="25">
        <f>((G41*E41*2)+(H41*E41*3))</f>
        <v>0</v>
      </c>
      <c r="N41" s="50"/>
      <c r="R41" s="72">
        <f t="shared" si="1"/>
        <v>32.292035398230091</v>
      </c>
    </row>
    <row r="42" spans="1:18" s="33" customFormat="1" ht="18.95" customHeight="1">
      <c r="A42" s="32"/>
      <c r="B42" s="43"/>
      <c r="C42" s="73" t="s">
        <v>87</v>
      </c>
      <c r="D42" s="77" t="s">
        <v>233</v>
      </c>
      <c r="E42" s="75">
        <v>75</v>
      </c>
      <c r="F42" s="31">
        <v>0.13</v>
      </c>
      <c r="G42" s="23"/>
      <c r="H42" s="23"/>
      <c r="I42" s="26"/>
      <c r="J42" s="46"/>
      <c r="K42" s="24"/>
      <c r="L42" s="26"/>
      <c r="M42" s="25">
        <f>((G42*E42*2)+(H42*E42*3))</f>
        <v>0</v>
      </c>
      <c r="N42" s="50"/>
      <c r="R42" s="72">
        <f t="shared" si="1"/>
        <v>66.371681415929203</v>
      </c>
    </row>
    <row r="43" spans="1:18" s="33" customFormat="1" ht="18.95" customHeight="1">
      <c r="A43" s="32"/>
      <c r="B43" s="43"/>
      <c r="C43" s="73" t="s">
        <v>159</v>
      </c>
      <c r="D43" s="77" t="s">
        <v>232</v>
      </c>
      <c r="E43" s="75">
        <v>275</v>
      </c>
      <c r="F43" s="31">
        <v>0.13</v>
      </c>
      <c r="G43" s="46"/>
      <c r="H43" s="46"/>
      <c r="I43" s="26"/>
      <c r="J43" s="46"/>
      <c r="K43" s="23"/>
      <c r="L43" s="26"/>
      <c r="M43" s="25">
        <f>(E43*K43)</f>
        <v>0</v>
      </c>
      <c r="N43" s="50"/>
      <c r="R43" s="72">
        <f t="shared" si="1"/>
        <v>243.36283185840711</v>
      </c>
    </row>
    <row r="44" spans="1:18" s="33" customFormat="1" ht="18.95" customHeight="1">
      <c r="A44" s="32"/>
      <c r="B44" s="43"/>
      <c r="C44" s="107" t="s">
        <v>160</v>
      </c>
      <c r="D44" s="77" t="s">
        <v>232</v>
      </c>
      <c r="E44" s="75">
        <v>3.99</v>
      </c>
      <c r="F44" s="31">
        <v>0.13</v>
      </c>
      <c r="G44" s="23"/>
      <c r="H44" s="23"/>
      <c r="I44" s="26"/>
      <c r="J44" s="23"/>
      <c r="K44" s="23"/>
      <c r="L44" s="26"/>
      <c r="M44" s="25">
        <f t="shared" ref="M44:M48" si="5">((G44*E44*2)+(H44*E44*3)+(J44*E44*6)+(E44*K44))</f>
        <v>0</v>
      </c>
      <c r="N44" s="50"/>
      <c r="R44" s="72">
        <f t="shared" si="1"/>
        <v>3.530973451327434</v>
      </c>
    </row>
    <row r="45" spans="1:18" s="33" customFormat="1" ht="18.95" customHeight="1">
      <c r="A45" s="32"/>
      <c r="B45" s="43"/>
      <c r="C45" s="107" t="s">
        <v>161</v>
      </c>
      <c r="D45" s="77" t="s">
        <v>232</v>
      </c>
      <c r="E45" s="75">
        <v>3.99</v>
      </c>
      <c r="F45" s="31">
        <v>0.13</v>
      </c>
      <c r="G45" s="23"/>
      <c r="H45" s="23"/>
      <c r="I45" s="26"/>
      <c r="J45" s="23"/>
      <c r="K45" s="23"/>
      <c r="L45" s="26"/>
      <c r="M45" s="25">
        <f t="shared" si="5"/>
        <v>0</v>
      </c>
      <c r="N45" s="50"/>
      <c r="R45" s="72">
        <f t="shared" si="1"/>
        <v>3.530973451327434</v>
      </c>
    </row>
    <row r="46" spans="1:18" s="33" customFormat="1" ht="18.95" customHeight="1">
      <c r="A46" s="32"/>
      <c r="B46" s="43"/>
      <c r="C46" s="107" t="s">
        <v>239</v>
      </c>
      <c r="D46" s="110" t="s">
        <v>231</v>
      </c>
      <c r="E46" s="75">
        <v>4.99</v>
      </c>
      <c r="F46" s="31">
        <v>0.13</v>
      </c>
      <c r="G46" s="23"/>
      <c r="H46" s="23"/>
      <c r="I46" s="26"/>
      <c r="J46" s="23"/>
      <c r="K46" s="23"/>
      <c r="L46" s="26"/>
      <c r="M46" s="25">
        <f t="shared" si="5"/>
        <v>0</v>
      </c>
      <c r="N46" s="50"/>
      <c r="R46" s="72">
        <f t="shared" si="1"/>
        <v>4.4159292035398234</v>
      </c>
    </row>
    <row r="47" spans="1:18" s="33" customFormat="1" ht="18.95" customHeight="1">
      <c r="A47" s="32"/>
      <c r="B47" s="43"/>
      <c r="C47" s="107" t="s">
        <v>162</v>
      </c>
      <c r="D47" s="77" t="s">
        <v>232</v>
      </c>
      <c r="E47" s="75">
        <v>4.99</v>
      </c>
      <c r="F47" s="31">
        <v>0.13</v>
      </c>
      <c r="G47" s="23"/>
      <c r="H47" s="23"/>
      <c r="I47" s="26"/>
      <c r="J47" s="23"/>
      <c r="K47" s="23"/>
      <c r="L47" s="26"/>
      <c r="M47" s="25">
        <f t="shared" si="5"/>
        <v>0</v>
      </c>
      <c r="N47" s="50"/>
      <c r="R47" s="72">
        <f t="shared" si="1"/>
        <v>4.4159292035398234</v>
      </c>
    </row>
    <row r="48" spans="1:18" s="33" customFormat="1" ht="18.95" customHeight="1">
      <c r="A48" s="32"/>
      <c r="B48" s="43"/>
      <c r="C48" s="107" t="s">
        <v>163</v>
      </c>
      <c r="D48" s="110" t="s">
        <v>231</v>
      </c>
      <c r="E48" s="75">
        <v>4.99</v>
      </c>
      <c r="F48" s="31">
        <v>0.13</v>
      </c>
      <c r="G48" s="23"/>
      <c r="H48" s="23"/>
      <c r="I48" s="26"/>
      <c r="J48" s="23"/>
      <c r="K48" s="23"/>
      <c r="L48" s="26"/>
      <c r="M48" s="25">
        <f t="shared" si="5"/>
        <v>0</v>
      </c>
      <c r="N48" s="50"/>
      <c r="R48" s="72">
        <f t="shared" si="1"/>
        <v>4.4159292035398234</v>
      </c>
    </row>
    <row r="49" spans="1:18" s="33" customFormat="1" ht="18.95" customHeight="1">
      <c r="A49" s="32"/>
      <c r="B49" s="43"/>
      <c r="C49" s="107" t="s">
        <v>139</v>
      </c>
      <c r="D49" s="77" t="s">
        <v>233</v>
      </c>
      <c r="E49" s="75">
        <v>10.99</v>
      </c>
      <c r="F49" s="31">
        <v>0.13</v>
      </c>
      <c r="G49" s="46"/>
      <c r="H49" s="46"/>
      <c r="I49" s="26"/>
      <c r="J49" s="46"/>
      <c r="K49" s="23"/>
      <c r="L49" s="26"/>
      <c r="M49" s="25">
        <f>(E49*K49)</f>
        <v>0</v>
      </c>
      <c r="N49" s="50"/>
      <c r="R49" s="72">
        <f t="shared" si="1"/>
        <v>9.7256637168141609</v>
      </c>
    </row>
    <row r="50" spans="1:18" s="33" customFormat="1" ht="18.95" customHeight="1">
      <c r="A50" s="32"/>
      <c r="B50" s="43"/>
      <c r="C50" s="73" t="s">
        <v>164</v>
      </c>
      <c r="D50" s="77" t="s">
        <v>232</v>
      </c>
      <c r="E50" s="74">
        <v>5.99</v>
      </c>
      <c r="F50" s="31">
        <v>0.13</v>
      </c>
      <c r="G50" s="23"/>
      <c r="H50" s="23"/>
      <c r="I50" s="26"/>
      <c r="J50" s="23"/>
      <c r="K50" s="23"/>
      <c r="L50" s="26"/>
      <c r="M50" s="25">
        <f>((G50*E50*2)+(H50*E50*3)+(J50*E50*6)+(E50*K50))</f>
        <v>0</v>
      </c>
      <c r="N50" s="50"/>
      <c r="R50" s="72">
        <f t="shared" si="1"/>
        <v>5.3008849557522133</v>
      </c>
    </row>
    <row r="51" spans="1:18" s="33" customFormat="1" ht="18.95" customHeight="1">
      <c r="A51" s="32"/>
      <c r="B51" s="43"/>
      <c r="C51" s="73" t="s">
        <v>135</v>
      </c>
      <c r="D51" s="77" t="s">
        <v>233</v>
      </c>
      <c r="E51" s="74">
        <v>5.99</v>
      </c>
      <c r="F51" s="31">
        <v>0.13</v>
      </c>
      <c r="G51" s="23"/>
      <c r="H51" s="23"/>
      <c r="I51" s="26"/>
      <c r="J51" s="23"/>
      <c r="K51" s="23"/>
      <c r="L51" s="26"/>
      <c r="M51" s="25">
        <f>((G51*E51*2)+(H51*E51*3)+(J51*E51*6)+(E51*K51))</f>
        <v>0</v>
      </c>
      <c r="N51" s="50"/>
      <c r="R51" s="72">
        <f t="shared" si="1"/>
        <v>5.3008849557522133</v>
      </c>
    </row>
    <row r="52" spans="1:18" s="33" customFormat="1" ht="18.95" customHeight="1">
      <c r="A52" s="32"/>
      <c r="B52" s="43"/>
      <c r="C52" s="73" t="s">
        <v>165</v>
      </c>
      <c r="D52" s="77" t="s">
        <v>233</v>
      </c>
      <c r="E52" s="74">
        <v>14.49</v>
      </c>
      <c r="F52" s="31">
        <v>0.13</v>
      </c>
      <c r="G52" s="46"/>
      <c r="H52" s="46"/>
      <c r="I52" s="26"/>
      <c r="J52" s="46"/>
      <c r="K52" s="23"/>
      <c r="L52" s="26"/>
      <c r="M52" s="25">
        <f>(E52*K52)</f>
        <v>0</v>
      </c>
      <c r="N52" s="50"/>
      <c r="R52" s="72">
        <f t="shared" si="1"/>
        <v>12.823008849557523</v>
      </c>
    </row>
    <row r="53" spans="1:18" s="33" customFormat="1" ht="18.95" customHeight="1">
      <c r="A53" s="32"/>
      <c r="B53" s="43"/>
      <c r="C53" s="73" t="s">
        <v>240</v>
      </c>
      <c r="D53" s="77" t="s">
        <v>232</v>
      </c>
      <c r="E53" s="74">
        <v>8.99</v>
      </c>
      <c r="F53" s="31">
        <v>0.13</v>
      </c>
      <c r="G53" s="23"/>
      <c r="H53" s="23"/>
      <c r="I53" s="26"/>
      <c r="J53" s="23"/>
      <c r="K53" s="23"/>
      <c r="L53" s="26"/>
      <c r="M53" s="25">
        <f>((G53*E53*2)+(H53*E53*3)+(J53*E53*6)+(E53*K53))</f>
        <v>0</v>
      </c>
      <c r="N53" s="50"/>
      <c r="R53" s="72">
        <f t="shared" si="1"/>
        <v>7.9557522123893811</v>
      </c>
    </row>
    <row r="54" spans="1:18" s="33" customFormat="1" ht="18.95" customHeight="1">
      <c r="A54" s="32"/>
      <c r="B54" s="43"/>
      <c r="C54" s="73" t="s">
        <v>228</v>
      </c>
      <c r="D54" s="110" t="s">
        <v>231</v>
      </c>
      <c r="E54" s="74">
        <v>17.989999999999998</v>
      </c>
      <c r="F54" s="31">
        <v>0.13</v>
      </c>
      <c r="G54" s="46"/>
      <c r="H54" s="46"/>
      <c r="I54" s="26"/>
      <c r="J54" s="46"/>
      <c r="K54" s="23"/>
      <c r="L54" s="26"/>
      <c r="M54" s="25">
        <f>(E54*K54)</f>
        <v>0</v>
      </c>
      <c r="N54" s="50"/>
      <c r="R54" s="72">
        <f t="shared" ref="R54" si="6">E54/(1+F54)</f>
        <v>15.920353982300885</v>
      </c>
    </row>
    <row r="55" spans="1:18" s="33" customFormat="1" ht="18.95" customHeight="1">
      <c r="A55" s="32"/>
      <c r="B55" s="43"/>
      <c r="C55" s="73" t="s">
        <v>166</v>
      </c>
      <c r="D55" s="77" t="s">
        <v>233</v>
      </c>
      <c r="E55" s="75">
        <v>7.99</v>
      </c>
      <c r="F55" s="31">
        <v>0.13</v>
      </c>
      <c r="G55" s="23"/>
      <c r="H55" s="23"/>
      <c r="I55" s="26"/>
      <c r="J55" s="23"/>
      <c r="K55" s="23"/>
      <c r="L55" s="26"/>
      <c r="M55" s="25">
        <f>((G55*E55*2)+(H55*E55*3)+(J55*E55*6)+(E55*K55))</f>
        <v>0</v>
      </c>
      <c r="N55" s="50"/>
      <c r="R55" s="72">
        <f t="shared" si="1"/>
        <v>7.0707964601769921</v>
      </c>
    </row>
    <row r="56" spans="1:18" s="33" customFormat="1" ht="18.95" customHeight="1">
      <c r="A56" s="32"/>
      <c r="B56" s="43"/>
      <c r="C56" s="73" t="s">
        <v>88</v>
      </c>
      <c r="D56" s="77" t="s">
        <v>233</v>
      </c>
      <c r="E56" s="75">
        <v>16.989999999999998</v>
      </c>
      <c r="F56" s="31">
        <v>0.13</v>
      </c>
      <c r="G56" s="23"/>
      <c r="H56" s="23"/>
      <c r="I56" s="26"/>
      <c r="J56" s="23"/>
      <c r="K56" s="23"/>
      <c r="L56" s="26"/>
      <c r="M56" s="25">
        <f>((G56*E56*2)+(H56*E56*3)+(J56*E56*6)+(E56*K56))</f>
        <v>0</v>
      </c>
      <c r="N56" s="67"/>
      <c r="R56" s="72">
        <f t="shared" ref="R56:R83" si="7">E56/(1+F56)</f>
        <v>15.035398230088495</v>
      </c>
    </row>
    <row r="57" spans="1:18" s="33" customFormat="1" ht="18.95" customHeight="1">
      <c r="A57" s="32"/>
      <c r="B57" s="43"/>
      <c r="C57" s="73" t="s">
        <v>89</v>
      </c>
      <c r="D57" s="77" t="s">
        <v>233</v>
      </c>
      <c r="E57" s="75">
        <v>28.5</v>
      </c>
      <c r="F57" s="31">
        <v>0.13</v>
      </c>
      <c r="G57" s="23"/>
      <c r="H57" s="23"/>
      <c r="I57" s="26"/>
      <c r="K57" s="23"/>
      <c r="L57" s="26"/>
      <c r="M57" s="25">
        <f>((G57*E57*2)+(H57*E57*3)+(K57*E57))</f>
        <v>0</v>
      </c>
      <c r="N57" s="67"/>
      <c r="R57" s="72">
        <f t="shared" si="7"/>
        <v>25.221238938053101</v>
      </c>
    </row>
    <row r="58" spans="1:18" s="33" customFormat="1" ht="18.95" customHeight="1">
      <c r="A58" s="32"/>
      <c r="B58" s="43"/>
      <c r="C58" s="73" t="s">
        <v>90</v>
      </c>
      <c r="D58" s="77" t="s">
        <v>233</v>
      </c>
      <c r="E58" s="75">
        <v>80</v>
      </c>
      <c r="F58" s="31">
        <v>0.13</v>
      </c>
      <c r="G58" s="23"/>
      <c r="H58" s="23"/>
      <c r="I58" s="26"/>
      <c r="K58" s="23"/>
      <c r="L58" s="26"/>
      <c r="M58" s="25">
        <f>((G58*E58*2)+(H58*E58*3)+(K58*E58))</f>
        <v>0</v>
      </c>
      <c r="N58" s="67"/>
      <c r="R58" s="72">
        <f t="shared" si="7"/>
        <v>70.796460176991161</v>
      </c>
    </row>
    <row r="59" spans="1:18" s="33" customFormat="1" ht="18.95" customHeight="1">
      <c r="A59" s="32"/>
      <c r="B59" s="43"/>
      <c r="C59" s="73" t="s">
        <v>167</v>
      </c>
      <c r="D59" s="110" t="s">
        <v>231</v>
      </c>
      <c r="E59" s="74">
        <v>3.99</v>
      </c>
      <c r="F59" s="31">
        <v>0.13</v>
      </c>
      <c r="G59" s="23"/>
      <c r="H59" s="23"/>
      <c r="I59" s="26"/>
      <c r="J59" s="23"/>
      <c r="K59" s="23"/>
      <c r="L59" s="26"/>
      <c r="M59" s="25">
        <f t="shared" ref="M59:M60" si="8">((G59*E59*2)+(H59*E59*3)+(J59*E59*6)+(E59*K59))</f>
        <v>0</v>
      </c>
      <c r="N59" s="50"/>
      <c r="R59" s="72">
        <f t="shared" si="7"/>
        <v>3.530973451327434</v>
      </c>
    </row>
    <row r="60" spans="1:18" s="33" customFormat="1" ht="18.95" customHeight="1">
      <c r="A60" s="32"/>
      <c r="B60" s="43"/>
      <c r="C60" s="73" t="s">
        <v>168</v>
      </c>
      <c r="D60" s="110" t="s">
        <v>231</v>
      </c>
      <c r="E60" s="74">
        <v>3.99</v>
      </c>
      <c r="F60" s="31">
        <v>0.13</v>
      </c>
      <c r="G60" s="23"/>
      <c r="H60" s="23"/>
      <c r="I60" s="26"/>
      <c r="J60" s="23"/>
      <c r="K60" s="23"/>
      <c r="L60" s="26"/>
      <c r="M60" s="25">
        <f t="shared" si="8"/>
        <v>0</v>
      </c>
      <c r="N60" s="50"/>
      <c r="R60" s="72">
        <f t="shared" si="7"/>
        <v>3.530973451327434</v>
      </c>
    </row>
    <row r="61" spans="1:18" s="33" customFormat="1" ht="18.95" customHeight="1">
      <c r="A61" s="32"/>
      <c r="B61" s="43"/>
      <c r="C61" s="73" t="s">
        <v>127</v>
      </c>
      <c r="D61" s="77" t="s">
        <v>233</v>
      </c>
      <c r="E61" s="74">
        <v>7.99</v>
      </c>
      <c r="F61" s="31">
        <v>0.13</v>
      </c>
      <c r="G61" s="46"/>
      <c r="H61" s="46"/>
      <c r="I61" s="26"/>
      <c r="J61" s="46"/>
      <c r="K61" s="23"/>
      <c r="L61" s="26"/>
      <c r="M61" s="25">
        <f>(E61*K61)</f>
        <v>0</v>
      </c>
      <c r="N61" s="50"/>
      <c r="R61" s="72">
        <f t="shared" si="7"/>
        <v>7.0707964601769921</v>
      </c>
    </row>
    <row r="62" spans="1:18" s="33" customFormat="1" ht="18.95" customHeight="1">
      <c r="A62" s="32"/>
      <c r="B62" s="43"/>
      <c r="C62" s="73" t="s">
        <v>169</v>
      </c>
      <c r="D62" s="110" t="s">
        <v>231</v>
      </c>
      <c r="E62" s="74">
        <v>4.49</v>
      </c>
      <c r="F62" s="31">
        <v>0.13</v>
      </c>
      <c r="G62" s="23"/>
      <c r="H62" s="23"/>
      <c r="I62" s="26"/>
      <c r="J62" s="23"/>
      <c r="K62" s="23"/>
      <c r="L62" s="26"/>
      <c r="M62" s="25">
        <f t="shared" ref="M62:M63" si="9">((G62*E62*2)+(H62*E62*3)+(J62*E62*6)+(E62*K62))</f>
        <v>0</v>
      </c>
      <c r="N62" s="50"/>
      <c r="R62" s="72">
        <f t="shared" si="7"/>
        <v>3.9734513274336289</v>
      </c>
    </row>
    <row r="63" spans="1:18" s="33" customFormat="1" ht="18.95" customHeight="1">
      <c r="A63" s="32"/>
      <c r="B63" s="43"/>
      <c r="C63" s="73" t="s">
        <v>91</v>
      </c>
      <c r="D63" s="77" t="s">
        <v>233</v>
      </c>
      <c r="E63" s="74">
        <v>4.49</v>
      </c>
      <c r="F63" s="31">
        <v>0.13</v>
      </c>
      <c r="G63" s="23"/>
      <c r="H63" s="23"/>
      <c r="I63" s="26"/>
      <c r="J63" s="23"/>
      <c r="K63" s="23"/>
      <c r="L63" s="26"/>
      <c r="M63" s="25">
        <f t="shared" si="9"/>
        <v>0</v>
      </c>
      <c r="N63" s="50"/>
      <c r="R63" s="72">
        <f t="shared" si="7"/>
        <v>3.9734513274336289</v>
      </c>
    </row>
    <row r="64" spans="1:18" s="33" customFormat="1" ht="18.95" customHeight="1">
      <c r="A64" s="32"/>
      <c r="B64" s="43"/>
      <c r="C64" s="73" t="s">
        <v>170</v>
      </c>
      <c r="D64" s="110" t="s">
        <v>231</v>
      </c>
      <c r="E64" s="75">
        <v>5.99</v>
      </c>
      <c r="F64" s="31">
        <v>0.13</v>
      </c>
      <c r="G64" s="23"/>
      <c r="H64" s="23"/>
      <c r="I64" s="26"/>
      <c r="J64" s="23"/>
      <c r="K64" s="23"/>
      <c r="L64" s="26"/>
      <c r="M64" s="25">
        <f t="shared" ref="M64:M74" si="10">((G64*E64*2)+(H64*E64*3)+(J64*E64*6)+(E64*K64))</f>
        <v>0</v>
      </c>
      <c r="N64" s="50"/>
      <c r="R64" s="72">
        <f t="shared" si="7"/>
        <v>5.3008849557522133</v>
      </c>
    </row>
    <row r="65" spans="1:18" s="33" customFormat="1" ht="18.95" hidden="1" customHeight="1">
      <c r="A65" s="32"/>
      <c r="B65" s="43"/>
      <c r="C65" s="73" t="s">
        <v>133</v>
      </c>
      <c r="D65" s="77"/>
      <c r="E65" s="75">
        <f>5.99*2</f>
        <v>11.98</v>
      </c>
      <c r="F65" s="31">
        <v>0.13</v>
      </c>
      <c r="G65" s="46"/>
      <c r="H65" s="46"/>
      <c r="I65" s="26"/>
      <c r="J65" s="46"/>
      <c r="K65" s="23"/>
      <c r="L65" s="26"/>
      <c r="M65" s="25">
        <f>(E65*K65)</f>
        <v>0</v>
      </c>
      <c r="N65" s="50"/>
      <c r="R65" s="72">
        <f t="shared" si="7"/>
        <v>10.601769911504427</v>
      </c>
    </row>
    <row r="66" spans="1:18" s="33" customFormat="1" ht="18.95" customHeight="1">
      <c r="A66" s="32"/>
      <c r="B66" s="43"/>
      <c r="C66" s="73" t="s">
        <v>134</v>
      </c>
      <c r="D66" s="77" t="s">
        <v>233</v>
      </c>
      <c r="E66" s="75">
        <v>11.99</v>
      </c>
      <c r="F66" s="31">
        <v>0.13</v>
      </c>
      <c r="G66" s="46"/>
      <c r="H66" s="46"/>
      <c r="I66" s="26"/>
      <c r="J66" s="46"/>
      <c r="K66" s="23"/>
      <c r="L66" s="26"/>
      <c r="M66" s="25">
        <f>(E66*K66)</f>
        <v>0</v>
      </c>
      <c r="N66" s="50"/>
      <c r="R66" s="72">
        <f t="shared" ref="R66" si="11">E66/(1+F66)</f>
        <v>10.610619469026551</v>
      </c>
    </row>
    <row r="67" spans="1:18" s="33" customFormat="1" ht="18.95" hidden="1" customHeight="1">
      <c r="A67" s="32"/>
      <c r="B67" s="43"/>
      <c r="C67" s="73" t="s">
        <v>92</v>
      </c>
      <c r="D67" s="77"/>
      <c r="E67" s="75">
        <v>7.97</v>
      </c>
      <c r="F67" s="31">
        <v>0.13</v>
      </c>
      <c r="G67" s="23"/>
      <c r="H67" s="23"/>
      <c r="I67" s="26"/>
      <c r="J67" s="23"/>
      <c r="K67" s="23"/>
      <c r="L67" s="26"/>
      <c r="M67" s="25">
        <f t="shared" si="10"/>
        <v>0</v>
      </c>
      <c r="N67" s="50"/>
      <c r="R67" s="72">
        <f t="shared" si="7"/>
        <v>7.0530973451327439</v>
      </c>
    </row>
    <row r="68" spans="1:18" s="33" customFormat="1" ht="18.95" hidden="1" customHeight="1">
      <c r="A68" s="32"/>
      <c r="B68" s="43"/>
      <c r="C68" s="73" t="s">
        <v>128</v>
      </c>
      <c r="D68" s="77"/>
      <c r="E68" s="75">
        <v>7.97</v>
      </c>
      <c r="F68" s="31">
        <v>0.13</v>
      </c>
      <c r="G68" s="23"/>
      <c r="H68" s="23"/>
      <c r="I68" s="26"/>
      <c r="J68" s="23"/>
      <c r="K68" s="23"/>
      <c r="L68" s="26"/>
      <c r="M68" s="25">
        <f t="shared" si="10"/>
        <v>0</v>
      </c>
      <c r="N68" s="50"/>
      <c r="R68" s="72">
        <f t="shared" si="7"/>
        <v>7.0530973451327439</v>
      </c>
    </row>
    <row r="69" spans="1:18" s="33" customFormat="1" ht="18.95" customHeight="1">
      <c r="A69" s="32"/>
      <c r="B69" s="43"/>
      <c r="C69" s="73" t="s">
        <v>224</v>
      </c>
      <c r="D69" s="110" t="s">
        <v>231</v>
      </c>
      <c r="E69" s="75">
        <v>7.99</v>
      </c>
      <c r="F69" s="31">
        <v>0.13</v>
      </c>
      <c r="G69" s="23"/>
      <c r="H69" s="23"/>
      <c r="I69" s="26"/>
      <c r="J69" s="23"/>
      <c r="K69" s="23"/>
      <c r="L69" s="26"/>
      <c r="M69" s="25">
        <f t="shared" si="10"/>
        <v>0</v>
      </c>
      <c r="N69" s="50"/>
      <c r="R69" s="72">
        <f t="shared" si="7"/>
        <v>7.0707964601769921</v>
      </c>
    </row>
    <row r="70" spans="1:18" s="33" customFormat="1" ht="18.95" customHeight="1">
      <c r="A70" s="32"/>
      <c r="B70" s="43"/>
      <c r="C70" s="73" t="s">
        <v>93</v>
      </c>
      <c r="D70" s="110" t="s">
        <v>238</v>
      </c>
      <c r="E70" s="75">
        <v>16</v>
      </c>
      <c r="F70" s="31">
        <v>0.13</v>
      </c>
      <c r="G70" s="23"/>
      <c r="H70" s="23"/>
      <c r="I70" s="26"/>
      <c r="J70" s="23"/>
      <c r="K70" s="23"/>
      <c r="L70" s="26"/>
      <c r="M70" s="25">
        <f t="shared" si="10"/>
        <v>0</v>
      </c>
      <c r="N70" s="50"/>
      <c r="R70" s="72">
        <f t="shared" si="7"/>
        <v>14.159292035398231</v>
      </c>
    </row>
    <row r="71" spans="1:18" s="33" customFormat="1" ht="18.95" customHeight="1">
      <c r="A71" s="32"/>
      <c r="B71" s="43"/>
      <c r="C71" s="73" t="s">
        <v>97</v>
      </c>
      <c r="D71" s="77" t="s">
        <v>233</v>
      </c>
      <c r="E71" s="75">
        <v>10</v>
      </c>
      <c r="F71" s="31">
        <v>0.13</v>
      </c>
      <c r="G71" s="23"/>
      <c r="H71" s="23"/>
      <c r="I71" s="26"/>
      <c r="J71" s="23"/>
      <c r="K71" s="23"/>
      <c r="L71" s="26"/>
      <c r="M71" s="25">
        <f>((G71*E71*2)+(H71*E71*3)+(J71*E71*3)+(E71*K71))</f>
        <v>0</v>
      </c>
      <c r="N71" s="50"/>
      <c r="R71" s="72">
        <f t="shared" si="7"/>
        <v>8.8495575221238951</v>
      </c>
    </row>
    <row r="72" spans="1:18" s="33" customFormat="1" ht="18.95" hidden="1" customHeight="1">
      <c r="A72" s="32"/>
      <c r="B72" s="43"/>
      <c r="C72" s="73" t="s">
        <v>94</v>
      </c>
      <c r="D72" s="77"/>
      <c r="E72" s="75">
        <v>18.48</v>
      </c>
      <c r="F72" s="31">
        <v>0.13</v>
      </c>
      <c r="G72" s="23"/>
      <c r="H72" s="23"/>
      <c r="I72" s="26"/>
      <c r="J72" s="23"/>
      <c r="K72" s="23"/>
      <c r="L72" s="26"/>
      <c r="M72" s="25">
        <f t="shared" si="10"/>
        <v>0</v>
      </c>
      <c r="N72" s="50"/>
      <c r="R72" s="72">
        <f t="shared" si="7"/>
        <v>16.353982300884958</v>
      </c>
    </row>
    <row r="73" spans="1:18" s="33" customFormat="1" ht="18.95" hidden="1" customHeight="1">
      <c r="A73" s="32"/>
      <c r="B73" s="43"/>
      <c r="C73" s="73" t="s">
        <v>95</v>
      </c>
      <c r="D73" s="77"/>
      <c r="E73" s="75">
        <v>15.99</v>
      </c>
      <c r="F73" s="31">
        <v>0.13</v>
      </c>
      <c r="G73" s="23"/>
      <c r="H73" s="23"/>
      <c r="I73" s="26"/>
      <c r="J73" s="23"/>
      <c r="K73" s="23"/>
      <c r="L73" s="26"/>
      <c r="M73" s="25">
        <f t="shared" si="10"/>
        <v>0</v>
      </c>
      <c r="N73" s="50"/>
      <c r="R73" s="72">
        <f t="shared" si="7"/>
        <v>14.150442477876108</v>
      </c>
    </row>
    <row r="74" spans="1:18" s="33" customFormat="1" ht="18.95" customHeight="1">
      <c r="A74" s="32"/>
      <c r="B74" s="43"/>
      <c r="C74" s="73" t="s">
        <v>96</v>
      </c>
      <c r="D74" s="77" t="s">
        <v>233</v>
      </c>
      <c r="E74" s="75">
        <v>16</v>
      </c>
      <c r="F74" s="31">
        <v>0.13</v>
      </c>
      <c r="G74" s="23"/>
      <c r="H74" s="23"/>
      <c r="I74" s="26"/>
      <c r="J74" s="23"/>
      <c r="K74" s="23"/>
      <c r="L74" s="26"/>
      <c r="M74" s="25">
        <f t="shared" si="10"/>
        <v>0</v>
      </c>
      <c r="N74" s="50"/>
      <c r="R74" s="72">
        <f t="shared" si="7"/>
        <v>14.159292035398231</v>
      </c>
    </row>
    <row r="75" spans="1:18" s="33" customFormat="1" ht="18.95" customHeight="1">
      <c r="A75" s="32"/>
      <c r="B75" s="43"/>
      <c r="C75" s="73" t="s">
        <v>129</v>
      </c>
      <c r="D75" s="77" t="s">
        <v>232</v>
      </c>
      <c r="E75" s="75">
        <v>23</v>
      </c>
      <c r="F75" s="31">
        <v>0.13</v>
      </c>
      <c r="G75" s="23"/>
      <c r="H75" s="23"/>
      <c r="I75" s="26"/>
      <c r="K75" s="23"/>
      <c r="L75" s="26"/>
      <c r="M75" s="25">
        <f>((G75*E75*2)+(H75*E75*3)+(K75*E75))</f>
        <v>0</v>
      </c>
      <c r="N75" s="50"/>
      <c r="R75" s="72">
        <f t="shared" si="7"/>
        <v>20.353982300884958</v>
      </c>
    </row>
    <row r="76" spans="1:18" s="33" customFormat="1" ht="18.95" customHeight="1">
      <c r="A76" s="32"/>
      <c r="B76" s="43"/>
      <c r="C76" s="73" t="s">
        <v>262</v>
      </c>
      <c r="D76" s="77" t="s">
        <v>233</v>
      </c>
      <c r="E76" s="75">
        <v>27</v>
      </c>
      <c r="F76" s="31">
        <v>0.13</v>
      </c>
      <c r="G76" s="23"/>
      <c r="H76" s="23"/>
      <c r="I76" s="26"/>
      <c r="K76" s="23"/>
      <c r="L76" s="26"/>
      <c r="M76" s="25">
        <f>((G76*E76*2)+(H76*E76*3)+(K76*E76))</f>
        <v>0</v>
      </c>
      <c r="N76" s="50"/>
      <c r="R76" s="72">
        <f t="shared" si="7"/>
        <v>23.893805309734514</v>
      </c>
    </row>
    <row r="77" spans="1:18" s="33" customFormat="1" ht="18.95" hidden="1" customHeight="1">
      <c r="A77" s="32"/>
      <c r="B77" s="43"/>
      <c r="C77" s="73" t="s">
        <v>140</v>
      </c>
      <c r="D77" s="77"/>
      <c r="E77" s="74">
        <v>33</v>
      </c>
      <c r="F77" s="31">
        <v>0.13</v>
      </c>
      <c r="G77" s="23"/>
      <c r="H77" s="23"/>
      <c r="I77" s="26"/>
      <c r="K77" s="23"/>
      <c r="L77" s="26"/>
      <c r="M77" s="25">
        <f>((G77*E77*2)+(H77*E77*3)+(K77*E77))</f>
        <v>0</v>
      </c>
      <c r="N77" s="50"/>
      <c r="R77" s="72">
        <f>E77/(1+F77)</f>
        <v>29.203539823008853</v>
      </c>
    </row>
    <row r="78" spans="1:18" s="33" customFormat="1" ht="18.95" hidden="1" customHeight="1">
      <c r="A78" s="32"/>
      <c r="B78" s="43"/>
      <c r="C78" s="73" t="s">
        <v>141</v>
      </c>
      <c r="D78" s="77"/>
      <c r="E78" s="74">
        <v>80</v>
      </c>
      <c r="F78" s="31">
        <v>0.13</v>
      </c>
      <c r="G78" s="23"/>
      <c r="H78" s="23"/>
      <c r="I78" s="26"/>
      <c r="K78" s="23"/>
      <c r="L78" s="26"/>
      <c r="M78" s="25">
        <f>((G78*E78*2)+(H78*E78*3)+(K78*E78))</f>
        <v>0</v>
      </c>
      <c r="N78" s="50"/>
      <c r="R78" s="72">
        <f t="shared" si="7"/>
        <v>70.796460176991161</v>
      </c>
    </row>
    <row r="79" spans="1:18" s="33" customFormat="1" ht="18.95" customHeight="1">
      <c r="A79" s="32"/>
      <c r="B79" s="43"/>
      <c r="C79" s="73" t="s">
        <v>171</v>
      </c>
      <c r="D79" s="77" t="s">
        <v>232</v>
      </c>
      <c r="E79" s="75">
        <v>4.99</v>
      </c>
      <c r="F79" s="31">
        <v>0.13</v>
      </c>
      <c r="G79" s="23"/>
      <c r="H79" s="23"/>
      <c r="I79" s="26"/>
      <c r="J79" s="23"/>
      <c r="K79" s="23"/>
      <c r="L79" s="26"/>
      <c r="M79" s="25">
        <f t="shared" ref="M79:M83" si="12">((G79*E79*2)+(H79*E79*3)+(J79*E79*6)+(E79*K79))</f>
        <v>0</v>
      </c>
      <c r="N79" s="50"/>
      <c r="R79" s="72">
        <f t="shared" si="7"/>
        <v>4.4159292035398234</v>
      </c>
    </row>
    <row r="80" spans="1:18" s="33" customFormat="1" ht="18.95" customHeight="1">
      <c r="A80" s="32"/>
      <c r="B80" s="43"/>
      <c r="C80" s="73" t="s">
        <v>172</v>
      </c>
      <c r="D80" s="110" t="s">
        <v>231</v>
      </c>
      <c r="E80" s="75">
        <v>16</v>
      </c>
      <c r="F80" s="31">
        <v>0.13</v>
      </c>
      <c r="G80" s="23"/>
      <c r="H80" s="23"/>
      <c r="I80" s="26"/>
      <c r="J80" s="23"/>
      <c r="K80" s="23"/>
      <c r="L80" s="26"/>
      <c r="M80" s="25">
        <f t="shared" si="12"/>
        <v>0</v>
      </c>
      <c r="N80" s="50"/>
      <c r="R80" s="72">
        <f t="shared" si="7"/>
        <v>14.159292035398231</v>
      </c>
    </row>
    <row r="81" spans="1:18" s="33" customFormat="1" ht="18.95" customHeight="1">
      <c r="A81" s="32"/>
      <c r="B81" s="43"/>
      <c r="C81" s="73" t="s">
        <v>173</v>
      </c>
      <c r="D81" s="77" t="s">
        <v>233</v>
      </c>
      <c r="E81" s="75">
        <v>4.99</v>
      </c>
      <c r="F81" s="31">
        <v>0.13</v>
      </c>
      <c r="G81" s="23"/>
      <c r="H81" s="23"/>
      <c r="I81" s="26"/>
      <c r="J81" s="23"/>
      <c r="K81" s="23"/>
      <c r="L81" s="26"/>
      <c r="M81" s="25">
        <f t="shared" si="12"/>
        <v>0</v>
      </c>
      <c r="N81" s="50"/>
      <c r="R81" s="72">
        <f t="shared" si="7"/>
        <v>4.4159292035398234</v>
      </c>
    </row>
    <row r="82" spans="1:18" s="33" customFormat="1" ht="18.95" customHeight="1">
      <c r="A82" s="32"/>
      <c r="B82" s="43"/>
      <c r="C82" s="73" t="s">
        <v>130</v>
      </c>
      <c r="D82" s="77" t="s">
        <v>233</v>
      </c>
      <c r="E82" s="75">
        <v>6.99</v>
      </c>
      <c r="F82" s="31">
        <v>0.13</v>
      </c>
      <c r="G82" s="23"/>
      <c r="H82" s="23"/>
      <c r="I82" s="26"/>
      <c r="J82" s="23"/>
      <c r="K82" s="23"/>
      <c r="L82" s="26"/>
      <c r="M82" s="25">
        <f t="shared" si="12"/>
        <v>0</v>
      </c>
      <c r="N82" s="50"/>
      <c r="R82" s="72">
        <f t="shared" si="7"/>
        <v>6.1858407079646023</v>
      </c>
    </row>
    <row r="83" spans="1:18" s="33" customFormat="1" ht="18.95" customHeight="1">
      <c r="A83" s="32"/>
      <c r="B83" s="43"/>
      <c r="C83" s="73" t="s">
        <v>174</v>
      </c>
      <c r="D83" s="110" t="s">
        <v>231</v>
      </c>
      <c r="E83" s="75">
        <v>6.99</v>
      </c>
      <c r="F83" s="31">
        <v>0.13</v>
      </c>
      <c r="G83" s="23"/>
      <c r="H83" s="23"/>
      <c r="I83" s="26"/>
      <c r="J83" s="23"/>
      <c r="K83" s="23"/>
      <c r="L83" s="26"/>
      <c r="M83" s="25">
        <f t="shared" si="12"/>
        <v>0</v>
      </c>
      <c r="N83" s="50"/>
      <c r="R83" s="72">
        <f t="shared" si="7"/>
        <v>6.1858407079646023</v>
      </c>
    </row>
    <row r="84" spans="1:18" s="2" customFormat="1" ht="20.100000000000001" customHeight="1">
      <c r="A84" s="11"/>
      <c r="B84" s="27"/>
      <c r="C84" s="137" t="s">
        <v>56</v>
      </c>
      <c r="D84" s="78"/>
      <c r="E84" s="132" t="s">
        <v>237</v>
      </c>
      <c r="F84" s="122"/>
      <c r="G84" s="133" t="s">
        <v>31</v>
      </c>
      <c r="H84" s="134"/>
      <c r="I84" s="13"/>
      <c r="J84" s="29" t="s">
        <v>0</v>
      </c>
      <c r="K84" s="29" t="s">
        <v>1</v>
      </c>
      <c r="L84" s="30"/>
      <c r="M84" s="29" t="s">
        <v>65</v>
      </c>
      <c r="N84" s="50"/>
    </row>
    <row r="85" spans="1:18" s="2" customFormat="1" ht="20.100000000000001" customHeight="1">
      <c r="A85" s="11"/>
      <c r="B85" s="27"/>
      <c r="C85" s="131"/>
      <c r="D85" s="79"/>
      <c r="E85" s="123"/>
      <c r="F85" s="124"/>
      <c r="G85" s="28" t="s">
        <v>5</v>
      </c>
      <c r="H85" s="28" t="s">
        <v>6</v>
      </c>
      <c r="I85" s="13"/>
      <c r="J85" s="29" t="s">
        <v>2</v>
      </c>
      <c r="K85" s="29" t="s">
        <v>24</v>
      </c>
      <c r="L85" s="30"/>
      <c r="M85" s="29" t="s">
        <v>3</v>
      </c>
      <c r="N85" s="50"/>
    </row>
    <row r="86" spans="1:18" s="33" customFormat="1" ht="18.95" customHeight="1">
      <c r="A86" s="32"/>
      <c r="B86" s="43"/>
      <c r="C86" s="73" t="s">
        <v>131</v>
      </c>
      <c r="D86" s="77" t="s">
        <v>233</v>
      </c>
      <c r="E86" s="75">
        <v>7.49</v>
      </c>
      <c r="F86" s="31">
        <v>0.13</v>
      </c>
      <c r="G86" s="23"/>
      <c r="H86" s="23"/>
      <c r="I86" s="26"/>
      <c r="J86" s="23"/>
      <c r="K86" s="23"/>
      <c r="L86" s="26"/>
      <c r="M86" s="25">
        <f>((G86*E86*2)+(H86*E86*3)+(J86*E86*6)+(E86*K86))</f>
        <v>0</v>
      </c>
      <c r="N86" s="50"/>
      <c r="R86" s="72">
        <f t="shared" ref="R86:R92" si="13">E86/(1+F86)</f>
        <v>6.6283185840707972</v>
      </c>
    </row>
    <row r="87" spans="1:18" s="33" customFormat="1" ht="18.95" customHeight="1">
      <c r="A87" s="32"/>
      <c r="B87" s="43"/>
      <c r="C87" s="73" t="s">
        <v>98</v>
      </c>
      <c r="D87" s="77" t="s">
        <v>233</v>
      </c>
      <c r="E87" s="75">
        <v>12.69</v>
      </c>
      <c r="F87" s="31">
        <v>0.13</v>
      </c>
      <c r="G87" s="23"/>
      <c r="H87" s="23"/>
      <c r="I87" s="26"/>
      <c r="J87" s="23"/>
      <c r="K87" s="23"/>
      <c r="L87" s="26"/>
      <c r="M87" s="25">
        <f t="shared" ref="M87:M97" si="14">((G87*E87*2)+(H87*E87*3)+(J87*E87*6)+(E87*K87))</f>
        <v>0</v>
      </c>
      <c r="N87" s="50"/>
      <c r="R87" s="72">
        <f t="shared" si="13"/>
        <v>11.230088495575222</v>
      </c>
    </row>
    <row r="88" spans="1:18" s="33" customFormat="1" ht="18.95" customHeight="1">
      <c r="A88" s="32"/>
      <c r="B88" s="43"/>
      <c r="C88" s="73" t="s">
        <v>175</v>
      </c>
      <c r="D88" s="77" t="s">
        <v>233</v>
      </c>
      <c r="E88" s="75">
        <v>32.590000000000003</v>
      </c>
      <c r="F88" s="31">
        <v>0.13</v>
      </c>
      <c r="G88" s="23"/>
      <c r="H88" s="23"/>
      <c r="I88" s="26"/>
      <c r="J88" s="23"/>
      <c r="K88" s="23"/>
      <c r="L88" s="26"/>
      <c r="M88" s="25">
        <f t="shared" si="14"/>
        <v>0</v>
      </c>
      <c r="N88" s="50"/>
      <c r="R88" s="72">
        <f t="shared" si="13"/>
        <v>28.840707964601776</v>
      </c>
    </row>
    <row r="89" spans="1:18" s="33" customFormat="1" ht="18.95" customHeight="1">
      <c r="A89" s="32"/>
      <c r="B89" s="43"/>
      <c r="C89" s="73" t="s">
        <v>176</v>
      </c>
      <c r="D89" s="77" t="s">
        <v>233</v>
      </c>
      <c r="E89" s="75">
        <v>48.95</v>
      </c>
      <c r="F89" s="31">
        <v>0.13</v>
      </c>
      <c r="G89" s="23"/>
      <c r="H89" s="23"/>
      <c r="I89" s="26"/>
      <c r="J89" s="23"/>
      <c r="K89" s="24"/>
      <c r="L89" s="26"/>
      <c r="M89" s="25">
        <f>((G89*E89*2)+(H89*E89*3)+(J89*E89*6))</f>
        <v>0</v>
      </c>
      <c r="N89" s="50"/>
      <c r="R89" s="72">
        <f t="shared" si="13"/>
        <v>43.318584070796469</v>
      </c>
    </row>
    <row r="90" spans="1:18" s="33" customFormat="1" ht="18.95" customHeight="1">
      <c r="A90" s="32"/>
      <c r="B90" s="43"/>
      <c r="C90" s="73" t="s">
        <v>177</v>
      </c>
      <c r="D90" s="77" t="s">
        <v>233</v>
      </c>
      <c r="E90" s="75">
        <v>6.99</v>
      </c>
      <c r="F90" s="31">
        <v>0.13</v>
      </c>
      <c r="G90" s="23"/>
      <c r="H90" s="23"/>
      <c r="I90" s="26"/>
      <c r="J90" s="23"/>
      <c r="K90" s="23"/>
      <c r="L90" s="26"/>
      <c r="M90" s="25">
        <f t="shared" si="14"/>
        <v>0</v>
      </c>
      <c r="N90" s="50"/>
      <c r="R90" s="72">
        <f t="shared" si="13"/>
        <v>6.1858407079646023</v>
      </c>
    </row>
    <row r="91" spans="1:18" s="33" customFormat="1" ht="18.95" customHeight="1">
      <c r="A91" s="32"/>
      <c r="B91" s="43"/>
      <c r="C91" s="73" t="s">
        <v>136</v>
      </c>
      <c r="D91" s="77" t="s">
        <v>233</v>
      </c>
      <c r="E91" s="75">
        <v>7.99</v>
      </c>
      <c r="F91" s="31">
        <v>0.13</v>
      </c>
      <c r="G91" s="23"/>
      <c r="H91" s="23"/>
      <c r="I91" s="26"/>
      <c r="J91" s="23"/>
      <c r="K91" s="23"/>
      <c r="L91" s="26"/>
      <c r="M91" s="25">
        <f t="shared" si="14"/>
        <v>0</v>
      </c>
      <c r="N91" s="50"/>
      <c r="R91" s="72">
        <f t="shared" si="13"/>
        <v>7.0707964601769921</v>
      </c>
    </row>
    <row r="92" spans="1:18" s="86" customFormat="1" ht="18.95" customHeight="1">
      <c r="A92" s="83"/>
      <c r="B92" s="84"/>
      <c r="C92" s="73" t="s">
        <v>178</v>
      </c>
      <c r="D92" s="77" t="s">
        <v>233</v>
      </c>
      <c r="E92" s="75">
        <v>26.99</v>
      </c>
      <c r="F92" s="31">
        <v>0.13</v>
      </c>
      <c r="G92" s="23"/>
      <c r="H92" s="23"/>
      <c r="I92" s="26"/>
      <c r="J92" s="23"/>
      <c r="K92" s="23"/>
      <c r="L92" s="26"/>
      <c r="M92" s="25">
        <f t="shared" si="14"/>
        <v>0</v>
      </c>
      <c r="N92" s="85"/>
      <c r="R92" s="87">
        <f t="shared" si="13"/>
        <v>23.884955752212392</v>
      </c>
    </row>
    <row r="93" spans="1:18" s="86" customFormat="1" ht="18.95" customHeight="1">
      <c r="A93" s="83"/>
      <c r="B93" s="84"/>
      <c r="C93" s="73" t="s">
        <v>179</v>
      </c>
      <c r="D93" s="77" t="s">
        <v>233</v>
      </c>
      <c r="E93" s="75">
        <v>75.989999999999995</v>
      </c>
      <c r="F93" s="31">
        <v>0.13</v>
      </c>
      <c r="G93" s="23"/>
      <c r="H93" s="23"/>
      <c r="I93" s="26"/>
      <c r="J93" s="23"/>
      <c r="K93" s="23"/>
      <c r="L93" s="26"/>
      <c r="M93" s="25">
        <f t="shared" si="14"/>
        <v>0</v>
      </c>
      <c r="N93" s="85"/>
      <c r="R93" s="87"/>
    </row>
    <row r="94" spans="1:18" s="86" customFormat="1" ht="18.95" customHeight="1">
      <c r="A94" s="83"/>
      <c r="B94" s="84"/>
      <c r="C94" s="73" t="s">
        <v>126</v>
      </c>
      <c r="D94" s="77" t="s">
        <v>233</v>
      </c>
      <c r="E94" s="75">
        <v>29.99</v>
      </c>
      <c r="F94" s="31">
        <v>0.13</v>
      </c>
      <c r="G94" s="23"/>
      <c r="H94" s="23"/>
      <c r="I94" s="26"/>
      <c r="J94" s="23"/>
      <c r="K94" s="23"/>
      <c r="L94" s="26"/>
      <c r="M94" s="25">
        <f t="shared" si="14"/>
        <v>0</v>
      </c>
      <c r="N94" s="85"/>
      <c r="R94" s="87"/>
    </row>
    <row r="95" spans="1:18" s="86" customFormat="1" ht="18.95" customHeight="1">
      <c r="A95" s="83"/>
      <c r="B95" s="84"/>
      <c r="C95" s="73" t="s">
        <v>180</v>
      </c>
      <c r="D95" s="77" t="s">
        <v>233</v>
      </c>
      <c r="E95" s="75">
        <v>17.989999999999998</v>
      </c>
      <c r="F95" s="31">
        <v>0.13</v>
      </c>
      <c r="G95" s="23"/>
      <c r="H95" s="23"/>
      <c r="I95" s="26"/>
      <c r="J95" s="23"/>
      <c r="K95" s="23"/>
      <c r="L95" s="26"/>
      <c r="M95" s="25">
        <f>((G95*E95*2)+(H95*E95*3)+(J95*E95*6)+(E95*K95))</f>
        <v>0</v>
      </c>
      <c r="N95" s="85"/>
      <c r="R95" s="87"/>
    </row>
    <row r="96" spans="1:18" s="86" customFormat="1" ht="18.95" customHeight="1">
      <c r="A96" s="83"/>
      <c r="B96" s="84"/>
      <c r="C96" s="73" t="s">
        <v>181</v>
      </c>
      <c r="D96" s="77" t="s">
        <v>233</v>
      </c>
      <c r="E96" s="75">
        <v>9.99</v>
      </c>
      <c r="F96" s="31">
        <v>0.13</v>
      </c>
      <c r="G96" s="23"/>
      <c r="H96" s="23"/>
      <c r="I96" s="26"/>
      <c r="J96" s="23"/>
      <c r="K96" s="23"/>
      <c r="L96" s="26"/>
      <c r="M96" s="25">
        <f t="shared" si="14"/>
        <v>0</v>
      </c>
      <c r="N96" s="85"/>
      <c r="R96" s="87"/>
    </row>
    <row r="97" spans="1:18" s="86" customFormat="1" ht="18.95" customHeight="1">
      <c r="A97" s="83"/>
      <c r="B97" s="84"/>
      <c r="C97" s="73" t="s">
        <v>182</v>
      </c>
      <c r="D97" s="77" t="s">
        <v>233</v>
      </c>
      <c r="E97" s="75">
        <v>7.49</v>
      </c>
      <c r="F97" s="31">
        <v>0.13</v>
      </c>
      <c r="G97" s="23"/>
      <c r="H97" s="23"/>
      <c r="I97" s="26"/>
      <c r="J97" s="23"/>
      <c r="K97" s="23"/>
      <c r="L97" s="26"/>
      <c r="M97" s="25">
        <f t="shared" si="14"/>
        <v>0</v>
      </c>
      <c r="N97" s="85"/>
      <c r="R97" s="87"/>
    </row>
    <row r="98" spans="1:18" s="86" customFormat="1" ht="18.95" customHeight="1">
      <c r="A98" s="83"/>
      <c r="B98" s="84"/>
      <c r="C98" s="73" t="s">
        <v>183</v>
      </c>
      <c r="D98" s="77" t="s">
        <v>233</v>
      </c>
      <c r="E98" s="75">
        <v>8.99</v>
      </c>
      <c r="F98" s="31">
        <v>0.13</v>
      </c>
      <c r="G98" s="23"/>
      <c r="H98" s="23"/>
      <c r="I98" s="26"/>
      <c r="J98" s="23"/>
      <c r="K98" s="23"/>
      <c r="L98" s="26"/>
      <c r="M98" s="25">
        <f>((G98*E98*2)+(H98*E98*3)+(J98*E98*6)+(E98*K98))</f>
        <v>0</v>
      </c>
      <c r="N98" s="85"/>
      <c r="R98" s="87"/>
    </row>
    <row r="99" spans="1:18" s="33" customFormat="1" ht="18.95" customHeight="1">
      <c r="A99" s="32"/>
      <c r="B99" s="43"/>
      <c r="C99" s="73" t="s">
        <v>184</v>
      </c>
      <c r="D99" s="77" t="s">
        <v>233</v>
      </c>
      <c r="E99" s="75">
        <v>12.69</v>
      </c>
      <c r="F99" s="31">
        <v>0.13</v>
      </c>
      <c r="G99" s="23"/>
      <c r="H99" s="23"/>
      <c r="I99" s="26"/>
      <c r="J99" s="23"/>
      <c r="K99" s="23"/>
      <c r="L99" s="26"/>
      <c r="M99" s="25">
        <f t="shared" ref="M99:M112" si="15">((G99*E99*2)+(H99*E99*3)+(J99*E99*6)+(E99*K99))</f>
        <v>0</v>
      </c>
      <c r="N99" s="67"/>
      <c r="R99" s="72">
        <f t="shared" ref="R99:R112" si="16">E99/(1+F99)</f>
        <v>11.230088495575222</v>
      </c>
    </row>
    <row r="100" spans="1:18" s="33" customFormat="1" ht="18.95" customHeight="1">
      <c r="A100" s="32"/>
      <c r="B100" s="43"/>
      <c r="C100" s="73" t="s">
        <v>99</v>
      </c>
      <c r="D100" s="77" t="s">
        <v>233</v>
      </c>
      <c r="E100" s="74">
        <v>6.49</v>
      </c>
      <c r="F100" s="31">
        <v>0.13</v>
      </c>
      <c r="G100" s="23"/>
      <c r="H100" s="23"/>
      <c r="I100" s="26"/>
      <c r="J100" s="23"/>
      <c r="K100" s="23"/>
      <c r="L100" s="26"/>
      <c r="M100" s="25">
        <f t="shared" si="15"/>
        <v>0</v>
      </c>
      <c r="N100" s="67"/>
      <c r="R100" s="72">
        <f t="shared" si="16"/>
        <v>5.7433628318584082</v>
      </c>
    </row>
    <row r="101" spans="1:18" s="33" customFormat="1" ht="18.95" hidden="1" customHeight="1">
      <c r="A101" s="32"/>
      <c r="B101" s="43"/>
      <c r="C101" s="73" t="s">
        <v>100</v>
      </c>
      <c r="D101" s="77"/>
      <c r="E101" s="74">
        <v>6.5</v>
      </c>
      <c r="F101" s="31">
        <v>0.13</v>
      </c>
      <c r="G101" s="23"/>
      <c r="H101" s="23"/>
      <c r="I101" s="26"/>
      <c r="J101" s="23"/>
      <c r="K101" s="23"/>
      <c r="L101" s="26"/>
      <c r="M101" s="25">
        <f t="shared" si="15"/>
        <v>0</v>
      </c>
      <c r="N101" s="67"/>
      <c r="R101" s="72">
        <f t="shared" si="16"/>
        <v>5.7522123893805315</v>
      </c>
    </row>
    <row r="102" spans="1:18" s="33" customFormat="1" ht="18.95" customHeight="1">
      <c r="A102" s="32"/>
      <c r="B102" s="43"/>
      <c r="C102" s="73" t="s">
        <v>101</v>
      </c>
      <c r="D102" s="77" t="s">
        <v>233</v>
      </c>
      <c r="E102" s="74">
        <v>6.49</v>
      </c>
      <c r="F102" s="31">
        <v>0.13</v>
      </c>
      <c r="G102" s="23"/>
      <c r="H102" s="23"/>
      <c r="I102" s="26"/>
      <c r="J102" s="23"/>
      <c r="K102" s="23"/>
      <c r="L102" s="26"/>
      <c r="M102" s="25">
        <f t="shared" si="15"/>
        <v>0</v>
      </c>
      <c r="N102" s="67"/>
      <c r="R102" s="72">
        <f t="shared" si="16"/>
        <v>5.7433628318584082</v>
      </c>
    </row>
    <row r="103" spans="1:18" s="33" customFormat="1" ht="18.95" customHeight="1">
      <c r="A103" s="32"/>
      <c r="B103" s="43"/>
      <c r="C103" s="73" t="s">
        <v>185</v>
      </c>
      <c r="D103" s="110" t="s">
        <v>231</v>
      </c>
      <c r="E103" s="74">
        <v>6.49</v>
      </c>
      <c r="F103" s="31">
        <v>0.13</v>
      </c>
      <c r="G103" s="23"/>
      <c r="H103" s="23"/>
      <c r="I103" s="26"/>
      <c r="J103" s="23"/>
      <c r="K103" s="23"/>
      <c r="L103" s="26"/>
      <c r="M103" s="25">
        <f t="shared" si="15"/>
        <v>0</v>
      </c>
      <c r="N103" s="67"/>
      <c r="R103" s="72">
        <f t="shared" si="16"/>
        <v>5.7433628318584082</v>
      </c>
    </row>
    <row r="104" spans="1:18" s="33" customFormat="1" ht="18.95" customHeight="1">
      <c r="A104" s="32"/>
      <c r="B104" s="43"/>
      <c r="C104" s="73" t="s">
        <v>132</v>
      </c>
      <c r="D104" s="77" t="s">
        <v>233</v>
      </c>
      <c r="E104" s="74">
        <v>7.99</v>
      </c>
      <c r="F104" s="31">
        <v>0.13</v>
      </c>
      <c r="G104" s="23"/>
      <c r="H104" s="23"/>
      <c r="I104" s="26"/>
      <c r="J104" s="23"/>
      <c r="K104" s="23"/>
      <c r="L104" s="26"/>
      <c r="M104" s="25">
        <f t="shared" si="15"/>
        <v>0</v>
      </c>
      <c r="N104" s="67"/>
      <c r="R104" s="72">
        <f t="shared" si="16"/>
        <v>7.0707964601769921</v>
      </c>
    </row>
    <row r="105" spans="1:18" s="33" customFormat="1" ht="18.95" customHeight="1">
      <c r="A105" s="32"/>
      <c r="B105" s="43"/>
      <c r="C105" s="73" t="s">
        <v>186</v>
      </c>
      <c r="D105" s="110" t="s">
        <v>231</v>
      </c>
      <c r="E105" s="74">
        <v>5.99</v>
      </c>
      <c r="F105" s="31">
        <v>0.13</v>
      </c>
      <c r="G105" s="23"/>
      <c r="H105" s="23"/>
      <c r="I105" s="26"/>
      <c r="J105" s="23"/>
      <c r="K105" s="23"/>
      <c r="L105" s="26"/>
      <c r="M105" s="25">
        <f t="shared" si="15"/>
        <v>0</v>
      </c>
      <c r="N105" s="50"/>
      <c r="R105" s="72">
        <f t="shared" si="16"/>
        <v>5.3008849557522133</v>
      </c>
    </row>
    <row r="106" spans="1:18" s="33" customFormat="1" ht="18.95" customHeight="1">
      <c r="A106" s="32"/>
      <c r="B106" s="43"/>
      <c r="C106" s="73" t="s">
        <v>241</v>
      </c>
      <c r="D106" s="110" t="s">
        <v>231</v>
      </c>
      <c r="E106" s="74">
        <v>5.99</v>
      </c>
      <c r="F106" s="31">
        <v>0.13</v>
      </c>
      <c r="G106" s="23"/>
      <c r="H106" s="23"/>
      <c r="I106" s="26"/>
      <c r="J106" s="23"/>
      <c r="K106" s="23"/>
      <c r="L106" s="26"/>
      <c r="M106" s="25">
        <f t="shared" ref="M106" si="17">((G106*E106*2)+(H106*E106*3)+(J106*E106*6)+(E106*K106))</f>
        <v>0</v>
      </c>
      <c r="N106" s="50"/>
      <c r="R106" s="72">
        <f t="shared" ref="R106" si="18">E106/(1+F106)</f>
        <v>5.3008849557522133</v>
      </c>
    </row>
    <row r="107" spans="1:18" s="33" customFormat="1" ht="18.95" customHeight="1">
      <c r="A107" s="32"/>
      <c r="B107" s="43"/>
      <c r="C107" s="73" t="s">
        <v>187</v>
      </c>
      <c r="D107" s="110" t="s">
        <v>231</v>
      </c>
      <c r="E107" s="74">
        <v>5.99</v>
      </c>
      <c r="F107" s="31">
        <v>0.13</v>
      </c>
      <c r="G107" s="23"/>
      <c r="H107" s="23"/>
      <c r="I107" s="26"/>
      <c r="J107" s="23"/>
      <c r="K107" s="23"/>
      <c r="L107" s="26"/>
      <c r="M107" s="25">
        <f t="shared" si="15"/>
        <v>0</v>
      </c>
      <c r="N107" s="50"/>
      <c r="R107" s="72">
        <f t="shared" si="16"/>
        <v>5.3008849557522133</v>
      </c>
    </row>
    <row r="108" spans="1:18" s="33" customFormat="1" ht="18.95" customHeight="1">
      <c r="A108" s="32"/>
      <c r="B108" s="43"/>
      <c r="C108" s="73" t="s">
        <v>235</v>
      </c>
      <c r="D108" s="110" t="s">
        <v>231</v>
      </c>
      <c r="E108" s="74">
        <v>35</v>
      </c>
      <c r="F108" s="31">
        <v>0.13</v>
      </c>
      <c r="G108" s="23"/>
      <c r="H108" s="23"/>
      <c r="I108" s="26"/>
      <c r="J108" s="23"/>
      <c r="K108" s="23"/>
      <c r="L108" s="26"/>
      <c r="M108" s="25">
        <f>((G108*E108*2)+(H108*E108*3)+(J108*E108*6)+(E108*K108))</f>
        <v>0</v>
      </c>
      <c r="N108" s="67"/>
      <c r="R108" s="72">
        <f>E108/(1+F108)</f>
        <v>30.973451327433633</v>
      </c>
    </row>
    <row r="109" spans="1:18" s="33" customFormat="1" ht="18.95" customHeight="1">
      <c r="A109" s="32"/>
      <c r="B109" s="43"/>
      <c r="C109" s="73" t="s">
        <v>243</v>
      </c>
      <c r="D109" s="77" t="s">
        <v>231</v>
      </c>
      <c r="E109" s="74">
        <v>48</v>
      </c>
      <c r="F109" s="31">
        <v>0.13</v>
      </c>
      <c r="G109" s="23"/>
      <c r="H109" s="23"/>
      <c r="I109" s="26"/>
      <c r="J109" s="23"/>
      <c r="K109" s="23"/>
      <c r="L109" s="26"/>
      <c r="M109" s="25">
        <f>((G109*E109*2)+(H109*E109*3)+(J109*E109*6)+(E109*K109))</f>
        <v>0</v>
      </c>
      <c r="N109" s="67"/>
      <c r="R109" s="72">
        <f>E109/(1+F109)</f>
        <v>42.477876106194692</v>
      </c>
    </row>
    <row r="110" spans="1:18" s="33" customFormat="1" ht="18.95" customHeight="1">
      <c r="A110" s="32"/>
      <c r="B110" s="43"/>
      <c r="C110" s="73" t="s">
        <v>188</v>
      </c>
      <c r="D110" s="77" t="s">
        <v>233</v>
      </c>
      <c r="E110" s="75">
        <v>12.99</v>
      </c>
      <c r="F110" s="31">
        <v>0.13</v>
      </c>
      <c r="G110" s="23"/>
      <c r="H110" s="23"/>
      <c r="I110" s="26"/>
      <c r="J110" s="23"/>
      <c r="K110" s="23"/>
      <c r="L110" s="26"/>
      <c r="M110" s="25">
        <f t="shared" si="15"/>
        <v>0</v>
      </c>
      <c r="N110" s="50"/>
      <c r="R110" s="72">
        <f t="shared" si="16"/>
        <v>11.495575221238939</v>
      </c>
    </row>
    <row r="111" spans="1:18" s="33" customFormat="1" ht="18.95" customHeight="1">
      <c r="A111" s="32"/>
      <c r="B111" s="43"/>
      <c r="C111" s="73" t="s">
        <v>242</v>
      </c>
      <c r="D111" s="77" t="s">
        <v>233</v>
      </c>
      <c r="E111" s="75">
        <v>12.99</v>
      </c>
      <c r="F111" s="31">
        <v>0.13</v>
      </c>
      <c r="G111" s="23"/>
      <c r="H111" s="23"/>
      <c r="I111" s="26"/>
      <c r="J111" s="23"/>
      <c r="K111" s="23"/>
      <c r="L111" s="26"/>
      <c r="M111" s="25">
        <f t="shared" si="15"/>
        <v>0</v>
      </c>
      <c r="N111" s="50"/>
      <c r="R111" s="72">
        <f t="shared" si="16"/>
        <v>11.495575221238939</v>
      </c>
    </row>
    <row r="112" spans="1:18" s="33" customFormat="1" ht="18.95" customHeight="1">
      <c r="A112" s="32"/>
      <c r="B112" s="43"/>
      <c r="C112" s="73" t="s">
        <v>189</v>
      </c>
      <c r="D112" s="77" t="s">
        <v>233</v>
      </c>
      <c r="E112" s="75">
        <v>14.99</v>
      </c>
      <c r="F112" s="31">
        <v>0.13</v>
      </c>
      <c r="G112" s="23"/>
      <c r="H112" s="23"/>
      <c r="I112" s="26"/>
      <c r="J112" s="23"/>
      <c r="K112" s="23"/>
      <c r="L112" s="26"/>
      <c r="M112" s="25">
        <f t="shared" si="15"/>
        <v>0</v>
      </c>
      <c r="N112" s="50"/>
      <c r="R112" s="72">
        <f t="shared" si="16"/>
        <v>13.265486725663719</v>
      </c>
    </row>
    <row r="113" spans="1:18" s="2" customFormat="1" ht="20.100000000000001" customHeight="1">
      <c r="A113" s="11"/>
      <c r="B113" s="27"/>
      <c r="C113" s="137" t="s">
        <v>57</v>
      </c>
      <c r="D113" s="78"/>
      <c r="E113" s="132" t="s">
        <v>237</v>
      </c>
      <c r="F113" s="122"/>
      <c r="G113" s="133" t="s">
        <v>31</v>
      </c>
      <c r="H113" s="134"/>
      <c r="I113" s="13"/>
      <c r="J113" s="29" t="s">
        <v>0</v>
      </c>
      <c r="K113" s="29" t="s">
        <v>1</v>
      </c>
      <c r="L113" s="30"/>
      <c r="M113" s="29" t="s">
        <v>65</v>
      </c>
      <c r="N113" s="50"/>
    </row>
    <row r="114" spans="1:18" s="2" customFormat="1" ht="20.100000000000001" customHeight="1">
      <c r="A114" s="11"/>
      <c r="B114" s="27"/>
      <c r="C114" s="131"/>
      <c r="D114" s="79"/>
      <c r="E114" s="123"/>
      <c r="F114" s="124"/>
      <c r="G114" s="28" t="s">
        <v>5</v>
      </c>
      <c r="H114" s="28" t="s">
        <v>6</v>
      </c>
      <c r="I114" s="13"/>
      <c r="J114" s="29" t="s">
        <v>2</v>
      </c>
      <c r="K114" s="29" t="s">
        <v>24</v>
      </c>
      <c r="L114" s="30"/>
      <c r="M114" s="29" t="s">
        <v>3</v>
      </c>
      <c r="N114" s="50"/>
    </row>
    <row r="115" spans="1:18" s="33" customFormat="1" ht="18.95" customHeight="1">
      <c r="A115" s="32"/>
      <c r="B115" s="43"/>
      <c r="C115" s="62" t="s">
        <v>75</v>
      </c>
      <c r="D115" s="77" t="s">
        <v>233</v>
      </c>
      <c r="E115" s="88">
        <v>6.99</v>
      </c>
      <c r="F115" s="31">
        <v>0.23</v>
      </c>
      <c r="G115" s="23"/>
      <c r="H115" s="23"/>
      <c r="I115" s="26"/>
      <c r="J115" s="23"/>
      <c r="K115" s="23"/>
      <c r="L115" s="26"/>
      <c r="M115" s="25">
        <f>((G115*E115*2)+(H115*E115*3)+(J115*E115*6)+(E115*K115))</f>
        <v>0</v>
      </c>
      <c r="N115" s="50"/>
      <c r="R115" s="72">
        <f>E115/(1+F115)</f>
        <v>5.6829268292682933</v>
      </c>
    </row>
    <row r="116" spans="1:18" s="33" customFormat="1" ht="18.95" customHeight="1">
      <c r="A116" s="32"/>
      <c r="B116" s="43"/>
      <c r="C116" s="62" t="s">
        <v>261</v>
      </c>
      <c r="D116" s="77" t="s">
        <v>233</v>
      </c>
      <c r="E116" s="88">
        <v>7.99</v>
      </c>
      <c r="F116" s="31">
        <v>0.23</v>
      </c>
      <c r="G116" s="23"/>
      <c r="H116" s="23"/>
      <c r="I116" s="26"/>
      <c r="J116" s="23"/>
      <c r="K116" s="23"/>
      <c r="L116" s="26"/>
      <c r="M116" s="25">
        <f>((G116*E116*2)+(H116*E116*3)+(J116*E116*6)+(E116*K116))</f>
        <v>0</v>
      </c>
      <c r="N116" s="50"/>
      <c r="R116" s="72"/>
    </row>
    <row r="117" spans="1:18" s="33" customFormat="1" ht="18.95" customHeight="1">
      <c r="A117" s="32"/>
      <c r="B117" s="43"/>
      <c r="C117" s="62" t="s">
        <v>102</v>
      </c>
      <c r="D117" s="77" t="s">
        <v>233</v>
      </c>
      <c r="E117" s="88">
        <v>18.5</v>
      </c>
      <c r="F117" s="31">
        <v>0.23</v>
      </c>
      <c r="G117" s="23"/>
      <c r="H117" s="23"/>
      <c r="I117" s="26"/>
      <c r="J117" s="103"/>
      <c r="K117" s="23"/>
      <c r="L117" s="26"/>
      <c r="M117" s="25">
        <f>((G117*E117*2)+(H117*E117*3)+(E117*K117))</f>
        <v>0</v>
      </c>
      <c r="N117" s="50"/>
      <c r="R117" s="72"/>
    </row>
    <row r="118" spans="1:18" s="33" customFormat="1" ht="18.95" customHeight="1">
      <c r="A118" s="32"/>
      <c r="B118" s="43"/>
      <c r="C118" s="62" t="s">
        <v>227</v>
      </c>
      <c r="D118" s="110" t="s">
        <v>234</v>
      </c>
      <c r="E118" s="88">
        <v>8.8000000000000007</v>
      </c>
      <c r="F118" s="31">
        <v>0.23</v>
      </c>
      <c r="G118" s="23"/>
      <c r="H118" s="23"/>
      <c r="I118" s="26"/>
      <c r="J118" s="103"/>
      <c r="K118" s="23"/>
      <c r="L118" s="26"/>
      <c r="M118" s="25">
        <f>((G118*E118*2)+(H118*E118*3)+(E118*K118))</f>
        <v>0</v>
      </c>
      <c r="N118" s="50"/>
      <c r="R118" s="72">
        <f>E118/(1+F118)</f>
        <v>7.1544715447154479</v>
      </c>
    </row>
    <row r="119" spans="1:18" s="33" customFormat="1" ht="18.95" customHeight="1">
      <c r="A119" s="32"/>
      <c r="B119" s="43"/>
      <c r="C119" s="62" t="s">
        <v>77</v>
      </c>
      <c r="D119" s="77" t="s">
        <v>233</v>
      </c>
      <c r="E119" s="75">
        <v>7.99</v>
      </c>
      <c r="F119" s="31">
        <v>0.23</v>
      </c>
      <c r="G119" s="23"/>
      <c r="H119" s="23"/>
      <c r="I119" s="26"/>
      <c r="J119" s="23"/>
      <c r="K119" s="23"/>
      <c r="L119" s="26"/>
      <c r="M119" s="25">
        <f t="shared" ref="M119:M127" si="19">((G119*E119*2)+(H119*E119*3)+(J119*E119*6)+(E119*K119))</f>
        <v>0</v>
      </c>
      <c r="N119" s="50"/>
      <c r="R119" s="72">
        <f t="shared" ref="R119:R130" si="20">E119/(1+F119)</f>
        <v>6.4959349593495936</v>
      </c>
    </row>
    <row r="120" spans="1:18" s="33" customFormat="1" ht="18.95" customHeight="1">
      <c r="A120" s="32"/>
      <c r="B120" s="43"/>
      <c r="C120" s="62" t="s">
        <v>78</v>
      </c>
      <c r="D120" s="77" t="s">
        <v>233</v>
      </c>
      <c r="E120" s="75">
        <v>8.99</v>
      </c>
      <c r="F120" s="31">
        <v>0.23</v>
      </c>
      <c r="G120" s="23"/>
      <c r="H120" s="23"/>
      <c r="I120" s="26"/>
      <c r="J120" s="23"/>
      <c r="K120" s="23"/>
      <c r="L120" s="26"/>
      <c r="M120" s="25">
        <f t="shared" si="19"/>
        <v>0</v>
      </c>
      <c r="N120" s="50"/>
      <c r="R120" s="72">
        <f t="shared" si="20"/>
        <v>7.3089430894308949</v>
      </c>
    </row>
    <row r="121" spans="1:18" s="33" customFormat="1" ht="18.95" customHeight="1">
      <c r="A121" s="32"/>
      <c r="B121" s="43"/>
      <c r="C121" s="62" t="s">
        <v>76</v>
      </c>
      <c r="D121" s="77" t="s">
        <v>233</v>
      </c>
      <c r="E121" s="75">
        <v>7.99</v>
      </c>
      <c r="F121" s="31">
        <v>0.23</v>
      </c>
      <c r="G121" s="23"/>
      <c r="H121" s="23"/>
      <c r="I121" s="26"/>
      <c r="J121" s="23"/>
      <c r="K121" s="23"/>
      <c r="L121" s="26"/>
      <c r="M121" s="25">
        <f t="shared" si="19"/>
        <v>0</v>
      </c>
      <c r="N121" s="50"/>
      <c r="R121" s="72">
        <f t="shared" si="20"/>
        <v>6.4959349593495936</v>
      </c>
    </row>
    <row r="122" spans="1:18" s="33" customFormat="1" ht="18.95" customHeight="1">
      <c r="A122" s="32"/>
      <c r="B122" s="43"/>
      <c r="C122" s="62" t="s">
        <v>79</v>
      </c>
      <c r="D122" s="77" t="s">
        <v>233</v>
      </c>
      <c r="E122" s="75">
        <v>6.99</v>
      </c>
      <c r="F122" s="31">
        <v>0.23</v>
      </c>
      <c r="G122" s="23"/>
      <c r="H122" s="23"/>
      <c r="I122" s="26"/>
      <c r="J122" s="23"/>
      <c r="K122" s="23"/>
      <c r="L122" s="26"/>
      <c r="M122" s="25">
        <f t="shared" si="19"/>
        <v>0</v>
      </c>
      <c r="N122" s="50"/>
      <c r="R122" s="70">
        <f t="shared" si="20"/>
        <v>5.6829268292682933</v>
      </c>
    </row>
    <row r="123" spans="1:18" s="33" customFormat="1" ht="18.95" customHeight="1">
      <c r="A123" s="32"/>
      <c r="B123" s="43"/>
      <c r="C123" s="62" t="s">
        <v>80</v>
      </c>
      <c r="D123" s="77" t="s">
        <v>233</v>
      </c>
      <c r="E123" s="74">
        <v>8.99</v>
      </c>
      <c r="F123" s="31">
        <v>0.23</v>
      </c>
      <c r="G123" s="23"/>
      <c r="H123" s="23"/>
      <c r="I123" s="26"/>
      <c r="J123" s="23"/>
      <c r="K123" s="23"/>
      <c r="L123" s="26"/>
      <c r="M123" s="25">
        <f t="shared" si="19"/>
        <v>0</v>
      </c>
      <c r="N123" s="50"/>
      <c r="R123" s="70">
        <f t="shared" si="20"/>
        <v>7.3089430894308949</v>
      </c>
    </row>
    <row r="124" spans="1:18" s="33" customFormat="1" ht="18.95" customHeight="1">
      <c r="A124" s="32"/>
      <c r="B124" s="43"/>
      <c r="C124" s="62" t="s">
        <v>81</v>
      </c>
      <c r="D124" s="77" t="s">
        <v>233</v>
      </c>
      <c r="E124" s="74">
        <v>8.99</v>
      </c>
      <c r="F124" s="31">
        <v>0.23</v>
      </c>
      <c r="G124" s="23"/>
      <c r="H124" s="23"/>
      <c r="I124" s="26"/>
      <c r="J124" s="23"/>
      <c r="K124" s="23"/>
      <c r="L124" s="26"/>
      <c r="M124" s="25">
        <f t="shared" si="19"/>
        <v>0</v>
      </c>
      <c r="N124" s="50"/>
      <c r="R124" s="70">
        <f t="shared" si="20"/>
        <v>7.3089430894308949</v>
      </c>
    </row>
    <row r="125" spans="1:18" s="33" customFormat="1" ht="18.95" customHeight="1">
      <c r="A125" s="32"/>
      <c r="B125" s="43"/>
      <c r="C125" s="62" t="s">
        <v>82</v>
      </c>
      <c r="D125" s="77" t="s">
        <v>233</v>
      </c>
      <c r="E125" s="74">
        <v>11</v>
      </c>
      <c r="F125" s="31">
        <v>0.23</v>
      </c>
      <c r="G125" s="23"/>
      <c r="H125" s="23"/>
      <c r="I125" s="26"/>
      <c r="J125" s="23"/>
      <c r="K125" s="23"/>
      <c r="L125" s="26"/>
      <c r="M125" s="25">
        <f t="shared" si="19"/>
        <v>0</v>
      </c>
      <c r="N125" s="50"/>
      <c r="R125" s="70">
        <f t="shared" si="20"/>
        <v>8.9430894308943092</v>
      </c>
    </row>
    <row r="126" spans="1:18" s="33" customFormat="1" ht="18.95" customHeight="1">
      <c r="A126" s="32"/>
      <c r="B126" s="43"/>
      <c r="C126" s="62" t="s">
        <v>83</v>
      </c>
      <c r="D126" s="77" t="s">
        <v>233</v>
      </c>
      <c r="E126" s="75">
        <v>42</v>
      </c>
      <c r="F126" s="31">
        <v>0.23</v>
      </c>
      <c r="G126" s="23"/>
      <c r="H126" s="23"/>
      <c r="I126" s="26"/>
      <c r="J126" s="23"/>
      <c r="K126" s="23"/>
      <c r="L126" s="26"/>
      <c r="M126" s="25">
        <f t="shared" si="19"/>
        <v>0</v>
      </c>
      <c r="N126" s="50"/>
      <c r="R126" s="70">
        <f t="shared" si="20"/>
        <v>34.146341463414636</v>
      </c>
    </row>
    <row r="127" spans="1:18" s="33" customFormat="1" ht="18.95" customHeight="1">
      <c r="A127" s="32"/>
      <c r="B127" s="43"/>
      <c r="C127" s="62" t="s">
        <v>84</v>
      </c>
      <c r="D127" s="77" t="s">
        <v>233</v>
      </c>
      <c r="E127" s="75">
        <v>54</v>
      </c>
      <c r="F127" s="31">
        <v>0.23</v>
      </c>
      <c r="G127" s="23"/>
      <c r="H127" s="23"/>
      <c r="I127" s="26"/>
      <c r="J127" s="23"/>
      <c r="K127" s="23"/>
      <c r="L127" s="26"/>
      <c r="M127" s="25">
        <f t="shared" si="19"/>
        <v>0</v>
      </c>
      <c r="N127" s="50"/>
      <c r="R127" s="70">
        <f t="shared" si="20"/>
        <v>43.902439024390247</v>
      </c>
    </row>
    <row r="128" spans="1:18" s="33" customFormat="1" ht="18.95" customHeight="1">
      <c r="A128" s="32"/>
      <c r="B128" s="43"/>
      <c r="C128" s="62" t="s">
        <v>103</v>
      </c>
      <c r="D128" s="77" t="s">
        <v>233</v>
      </c>
      <c r="E128" s="75">
        <v>42</v>
      </c>
      <c r="F128" s="31">
        <v>0.23</v>
      </c>
      <c r="G128" s="46"/>
      <c r="H128" s="46"/>
      <c r="I128" s="26"/>
      <c r="J128" s="46"/>
      <c r="K128" s="23"/>
      <c r="L128" s="26"/>
      <c r="M128" s="25">
        <f>(E128*K128)</f>
        <v>0</v>
      </c>
      <c r="N128" s="50"/>
      <c r="R128" s="70">
        <f t="shared" si="20"/>
        <v>34.146341463414636</v>
      </c>
    </row>
    <row r="129" spans="1:18" s="33" customFormat="1" ht="18.95" customHeight="1">
      <c r="A129" s="32"/>
      <c r="B129" s="43"/>
      <c r="C129" s="62" t="s">
        <v>137</v>
      </c>
      <c r="D129" s="77" t="s">
        <v>233</v>
      </c>
      <c r="E129" s="75">
        <v>165</v>
      </c>
      <c r="F129" s="31">
        <v>0.23</v>
      </c>
      <c r="G129" s="46"/>
      <c r="H129" s="46"/>
      <c r="I129" s="26"/>
      <c r="J129" s="23"/>
      <c r="K129" s="23"/>
      <c r="L129" s="26"/>
      <c r="M129" s="25">
        <f>((E129*K129)+(J129*E129*6))</f>
        <v>0</v>
      </c>
      <c r="N129" s="50"/>
      <c r="R129" s="70">
        <f t="shared" si="20"/>
        <v>134.14634146341464</v>
      </c>
    </row>
    <row r="130" spans="1:18" s="33" customFormat="1" ht="18.95" customHeight="1">
      <c r="A130" s="32"/>
      <c r="B130" s="43"/>
      <c r="C130" s="62" t="s">
        <v>138</v>
      </c>
      <c r="D130" s="77" t="s">
        <v>233</v>
      </c>
      <c r="E130" s="75">
        <v>200</v>
      </c>
      <c r="F130" s="31">
        <v>0.23</v>
      </c>
      <c r="G130" s="46"/>
      <c r="H130" s="46"/>
      <c r="I130" s="26"/>
      <c r="J130" s="23"/>
      <c r="K130" s="23"/>
      <c r="L130" s="26"/>
      <c r="M130" s="25">
        <f>((E130*K130)+(J130*E130*6))</f>
        <v>0</v>
      </c>
      <c r="N130" s="50"/>
      <c r="R130" s="70">
        <f t="shared" si="20"/>
        <v>162.60162601626016</v>
      </c>
    </row>
    <row r="131" spans="1:18" s="2" customFormat="1" ht="20.100000000000001" customHeight="1">
      <c r="A131" s="11"/>
      <c r="B131" s="6"/>
      <c r="C131" s="131" t="s">
        <v>10</v>
      </c>
      <c r="D131" s="79"/>
      <c r="E131" s="132" t="s">
        <v>237</v>
      </c>
      <c r="F131" s="122"/>
      <c r="G131" s="133" t="s">
        <v>7</v>
      </c>
      <c r="H131" s="134"/>
      <c r="I131" s="13"/>
      <c r="J131" s="29" t="s">
        <v>0</v>
      </c>
      <c r="K131" s="29" t="s">
        <v>1</v>
      </c>
      <c r="L131" s="30"/>
      <c r="M131" s="29" t="s">
        <v>65</v>
      </c>
      <c r="N131" s="50"/>
      <c r="R131" s="70"/>
    </row>
    <row r="132" spans="1:18" s="2" customFormat="1" ht="20.100000000000001" customHeight="1">
      <c r="A132" s="11"/>
      <c r="B132" s="6"/>
      <c r="C132" s="131"/>
      <c r="D132" s="79"/>
      <c r="E132" s="123"/>
      <c r="F132" s="124"/>
      <c r="G132" s="28" t="s">
        <v>5</v>
      </c>
      <c r="H132" s="28" t="s">
        <v>6</v>
      </c>
      <c r="I132" s="13"/>
      <c r="J132" s="29" t="s">
        <v>2</v>
      </c>
      <c r="K132" s="29" t="s">
        <v>24</v>
      </c>
      <c r="L132" s="30"/>
      <c r="M132" s="29" t="s">
        <v>3</v>
      </c>
      <c r="N132" s="50"/>
      <c r="R132" s="70"/>
    </row>
    <row r="133" spans="1:18" s="2" customFormat="1" ht="18.95" customHeight="1">
      <c r="A133" s="11"/>
      <c r="B133" s="27"/>
      <c r="C133" s="62" t="s">
        <v>13</v>
      </c>
      <c r="D133" s="77" t="s">
        <v>233</v>
      </c>
      <c r="E133" s="75">
        <v>7.99</v>
      </c>
      <c r="F133" s="31">
        <v>0.23</v>
      </c>
      <c r="G133" s="17"/>
      <c r="H133" s="17"/>
      <c r="I133" s="13"/>
      <c r="J133" s="23"/>
      <c r="K133" s="23"/>
      <c r="L133" s="26"/>
      <c r="M133" s="25">
        <f t="shared" ref="M133:M144" si="21">((E133*K133)+(J133*E133*6))</f>
        <v>0</v>
      </c>
      <c r="N133" s="50"/>
      <c r="R133" s="70">
        <f t="shared" ref="R133:R159" si="22">E133/(1+F133)</f>
        <v>6.4959349593495936</v>
      </c>
    </row>
    <row r="134" spans="1:18" s="2" customFormat="1" ht="18.95" customHeight="1">
      <c r="A134" s="11"/>
      <c r="B134" s="27"/>
      <c r="C134" s="62" t="s">
        <v>49</v>
      </c>
      <c r="D134" s="77" t="s">
        <v>233</v>
      </c>
      <c r="E134" s="75">
        <v>9.49</v>
      </c>
      <c r="F134" s="31">
        <v>0.23</v>
      </c>
      <c r="G134" s="17"/>
      <c r="H134" s="17"/>
      <c r="I134" s="13"/>
      <c r="J134" s="23"/>
      <c r="K134" s="23"/>
      <c r="L134" s="26"/>
      <c r="M134" s="25">
        <f t="shared" si="21"/>
        <v>0</v>
      </c>
      <c r="N134" s="50"/>
      <c r="R134" s="70">
        <f t="shared" si="22"/>
        <v>7.7154471544715451</v>
      </c>
    </row>
    <row r="135" spans="1:18" s="2" customFormat="1" ht="18.95" customHeight="1">
      <c r="A135" s="11"/>
      <c r="B135" s="27"/>
      <c r="C135" s="62" t="s">
        <v>104</v>
      </c>
      <c r="D135" s="77" t="s">
        <v>233</v>
      </c>
      <c r="E135" s="75">
        <v>19.350000000000001</v>
      </c>
      <c r="F135" s="31">
        <v>0.23</v>
      </c>
      <c r="G135" s="17"/>
      <c r="H135" s="17"/>
      <c r="I135" s="13"/>
      <c r="J135" s="23"/>
      <c r="K135" s="23"/>
      <c r="L135" s="26"/>
      <c r="M135" s="25">
        <f t="shared" si="21"/>
        <v>0</v>
      </c>
      <c r="N135" s="50"/>
      <c r="R135" s="70">
        <f t="shared" si="22"/>
        <v>15.731707317073171</v>
      </c>
    </row>
    <row r="136" spans="1:18" s="2" customFormat="1" ht="18.95" customHeight="1">
      <c r="A136" s="11"/>
      <c r="B136" s="27"/>
      <c r="C136" s="62" t="s">
        <v>14</v>
      </c>
      <c r="D136" s="77" t="s">
        <v>233</v>
      </c>
      <c r="E136" s="75">
        <v>11.49</v>
      </c>
      <c r="F136" s="31">
        <v>0.23</v>
      </c>
      <c r="G136" s="17"/>
      <c r="H136" s="17"/>
      <c r="I136" s="13"/>
      <c r="J136" s="23"/>
      <c r="K136" s="23"/>
      <c r="L136" s="26"/>
      <c r="M136" s="25">
        <f t="shared" si="21"/>
        <v>0</v>
      </c>
      <c r="N136" s="50"/>
      <c r="R136" s="70">
        <f t="shared" si="22"/>
        <v>9.3414634146341466</v>
      </c>
    </row>
    <row r="137" spans="1:18" s="2" customFormat="1" ht="18.95" customHeight="1">
      <c r="A137" s="11"/>
      <c r="B137" s="27"/>
      <c r="C137" s="62" t="s">
        <v>15</v>
      </c>
      <c r="D137" s="77" t="s">
        <v>233</v>
      </c>
      <c r="E137" s="75">
        <v>28.69</v>
      </c>
      <c r="F137" s="31">
        <v>0.23</v>
      </c>
      <c r="G137" s="17"/>
      <c r="H137" s="17"/>
      <c r="I137" s="13"/>
      <c r="J137" s="23"/>
      <c r="K137" s="23"/>
      <c r="L137" s="26"/>
      <c r="M137" s="25">
        <f t="shared" si="21"/>
        <v>0</v>
      </c>
      <c r="N137" s="50"/>
      <c r="R137" s="70">
        <f t="shared" si="22"/>
        <v>23.325203252032523</v>
      </c>
    </row>
    <row r="138" spans="1:18" s="2" customFormat="1" ht="18.95" customHeight="1">
      <c r="A138" s="11"/>
      <c r="B138" s="27"/>
      <c r="C138" s="62" t="s">
        <v>16</v>
      </c>
      <c r="D138" s="77" t="s">
        <v>233</v>
      </c>
      <c r="E138" s="75">
        <v>56.79</v>
      </c>
      <c r="F138" s="31">
        <v>0.23</v>
      </c>
      <c r="G138" s="17"/>
      <c r="H138" s="17"/>
      <c r="I138" s="13"/>
      <c r="J138" s="23"/>
      <c r="K138" s="23"/>
      <c r="L138" s="26"/>
      <c r="M138" s="25">
        <f t="shared" si="21"/>
        <v>0</v>
      </c>
      <c r="N138" s="50"/>
      <c r="R138" s="70">
        <f t="shared" si="22"/>
        <v>46.170731707317074</v>
      </c>
    </row>
    <row r="139" spans="1:18" s="2" customFormat="1" ht="18.95" customHeight="1">
      <c r="A139" s="11"/>
      <c r="B139" s="27"/>
      <c r="C139" s="62" t="s">
        <v>17</v>
      </c>
      <c r="D139" s="77" t="s">
        <v>233</v>
      </c>
      <c r="E139" s="75">
        <v>91</v>
      </c>
      <c r="F139" s="31">
        <v>0.23</v>
      </c>
      <c r="G139" s="17"/>
      <c r="H139" s="17"/>
      <c r="I139" s="13"/>
      <c r="J139" s="23"/>
      <c r="K139" s="23"/>
      <c r="L139" s="26"/>
      <c r="M139" s="25">
        <f t="shared" si="21"/>
        <v>0</v>
      </c>
      <c r="N139" s="50"/>
      <c r="R139" s="70">
        <f t="shared" si="22"/>
        <v>73.983739837398375</v>
      </c>
    </row>
    <row r="140" spans="1:18" s="7" customFormat="1" ht="18.95" customHeight="1">
      <c r="A140" s="12"/>
      <c r="B140" s="27"/>
      <c r="C140" s="62" t="s">
        <v>229</v>
      </c>
      <c r="D140" s="77" t="s">
        <v>232</v>
      </c>
      <c r="E140" s="75">
        <v>3000</v>
      </c>
      <c r="F140" s="31">
        <v>0.23</v>
      </c>
      <c r="G140" s="46"/>
      <c r="H140" s="46"/>
      <c r="I140" s="26"/>
      <c r="J140" s="46"/>
      <c r="K140" s="23"/>
      <c r="L140" s="26"/>
      <c r="M140" s="25">
        <f>(E140*K140)</f>
        <v>0</v>
      </c>
      <c r="N140" s="67"/>
      <c r="R140" s="70">
        <f t="shared" ref="R140" si="23">E140/(1+F140)</f>
        <v>2439.0243902439024</v>
      </c>
    </row>
    <row r="141" spans="1:18" s="2" customFormat="1" ht="18.95" customHeight="1">
      <c r="A141" s="11"/>
      <c r="B141" s="27"/>
      <c r="C141" s="62" t="s">
        <v>18</v>
      </c>
      <c r="D141" s="77" t="s">
        <v>233</v>
      </c>
      <c r="E141" s="75">
        <v>23</v>
      </c>
      <c r="F141" s="31">
        <v>0.23</v>
      </c>
      <c r="G141" s="17"/>
      <c r="H141" s="17"/>
      <c r="I141" s="13"/>
      <c r="J141" s="23"/>
      <c r="K141" s="23"/>
      <c r="L141" s="26"/>
      <c r="M141" s="25">
        <f t="shared" si="21"/>
        <v>0</v>
      </c>
      <c r="N141" s="50"/>
      <c r="R141" s="70">
        <f t="shared" si="22"/>
        <v>18.699186991869919</v>
      </c>
    </row>
    <row r="142" spans="1:18" s="2" customFormat="1" ht="18.95" customHeight="1">
      <c r="A142" s="11"/>
      <c r="B142" s="27"/>
      <c r="C142" s="62" t="s">
        <v>37</v>
      </c>
      <c r="D142" s="77" t="s">
        <v>233</v>
      </c>
      <c r="E142" s="75">
        <v>65</v>
      </c>
      <c r="F142" s="31">
        <v>0.23</v>
      </c>
      <c r="G142" s="17"/>
      <c r="H142" s="17"/>
      <c r="I142" s="13"/>
      <c r="J142" s="23"/>
      <c r="K142" s="23"/>
      <c r="L142" s="26"/>
      <c r="M142" s="25">
        <f t="shared" si="21"/>
        <v>0</v>
      </c>
      <c r="N142" s="50"/>
      <c r="R142" s="70">
        <f t="shared" si="22"/>
        <v>52.845528455284551</v>
      </c>
    </row>
    <row r="143" spans="1:18" s="2" customFormat="1" ht="18.95" customHeight="1">
      <c r="A143" s="11"/>
      <c r="B143" s="27"/>
      <c r="C143" s="62" t="s">
        <v>59</v>
      </c>
      <c r="D143" s="77" t="s">
        <v>233</v>
      </c>
      <c r="E143" s="75">
        <v>75</v>
      </c>
      <c r="F143" s="31">
        <v>0.23</v>
      </c>
      <c r="G143" s="17"/>
      <c r="H143" s="17"/>
      <c r="I143" s="13"/>
      <c r="J143" s="23"/>
      <c r="K143" s="23"/>
      <c r="L143" s="26"/>
      <c r="M143" s="25">
        <f t="shared" si="21"/>
        <v>0</v>
      </c>
      <c r="N143" s="50"/>
      <c r="R143" s="70">
        <f t="shared" si="22"/>
        <v>60.975609756097562</v>
      </c>
    </row>
    <row r="144" spans="1:18" s="2" customFormat="1" ht="18.95" customHeight="1">
      <c r="A144" s="11"/>
      <c r="B144" s="27"/>
      <c r="C144" s="62" t="s">
        <v>105</v>
      </c>
      <c r="D144" s="77" t="s">
        <v>233</v>
      </c>
      <c r="E144" s="75">
        <v>94.99</v>
      </c>
      <c r="F144" s="31">
        <v>0.23</v>
      </c>
      <c r="G144" s="17"/>
      <c r="H144" s="17"/>
      <c r="I144" s="13"/>
      <c r="J144" s="23"/>
      <c r="K144" s="23"/>
      <c r="L144" s="26"/>
      <c r="M144" s="25">
        <f t="shared" si="21"/>
        <v>0</v>
      </c>
      <c r="N144" s="50"/>
      <c r="R144" s="70">
        <f t="shared" si="22"/>
        <v>77.227642276422756</v>
      </c>
    </row>
    <row r="145" spans="1:19" s="2" customFormat="1" ht="18.95" customHeight="1">
      <c r="A145" s="11"/>
      <c r="B145" s="27"/>
      <c r="C145" s="62" t="s">
        <v>21</v>
      </c>
      <c r="D145" s="77" t="s">
        <v>233</v>
      </c>
      <c r="E145" s="75">
        <v>100</v>
      </c>
      <c r="F145" s="31">
        <v>0.23</v>
      </c>
      <c r="G145" s="46"/>
      <c r="H145" s="46"/>
      <c r="I145" s="26"/>
      <c r="J145" s="46"/>
      <c r="K145" s="23"/>
      <c r="L145" s="26"/>
      <c r="M145" s="25">
        <f>(E145*K145)</f>
        <v>0</v>
      </c>
      <c r="N145" s="50"/>
      <c r="R145" s="70">
        <f t="shared" si="22"/>
        <v>81.300813008130078</v>
      </c>
    </row>
    <row r="146" spans="1:19" s="2" customFormat="1" ht="18.95" customHeight="1">
      <c r="A146" s="11"/>
      <c r="B146" s="27"/>
      <c r="C146" s="62" t="s">
        <v>38</v>
      </c>
      <c r="D146" s="77" t="s">
        <v>233</v>
      </c>
      <c r="E146" s="75">
        <v>500</v>
      </c>
      <c r="F146" s="31">
        <v>0.23</v>
      </c>
      <c r="G146" s="46"/>
      <c r="H146" s="46"/>
      <c r="I146" s="26"/>
      <c r="J146" s="46"/>
      <c r="K146" s="23"/>
      <c r="L146" s="26"/>
      <c r="M146" s="25">
        <f>(E146*K146)</f>
        <v>0</v>
      </c>
      <c r="N146" s="50"/>
      <c r="R146" s="70">
        <f t="shared" si="22"/>
        <v>406.5040650406504</v>
      </c>
    </row>
    <row r="147" spans="1:19" s="2" customFormat="1" ht="18.95" customHeight="1">
      <c r="A147" s="11"/>
      <c r="B147" s="27"/>
      <c r="C147" s="62" t="s">
        <v>11</v>
      </c>
      <c r="D147" s="77" t="s">
        <v>233</v>
      </c>
      <c r="E147" s="74">
        <v>5.99</v>
      </c>
      <c r="F147" s="31">
        <v>0.23</v>
      </c>
      <c r="G147" s="17"/>
      <c r="H147" s="17"/>
      <c r="I147" s="13"/>
      <c r="J147" s="23"/>
      <c r="K147" s="23"/>
      <c r="L147" s="26"/>
      <c r="M147" s="25">
        <f>((E147*K147)+(J147*E147*6))</f>
        <v>0</v>
      </c>
      <c r="N147" s="50"/>
      <c r="R147" s="70">
        <f t="shared" si="22"/>
        <v>4.8699186991869921</v>
      </c>
    </row>
    <row r="148" spans="1:19" s="2" customFormat="1" ht="18.95" customHeight="1">
      <c r="A148" s="11"/>
      <c r="B148" s="27"/>
      <c r="C148" s="62" t="s">
        <v>40</v>
      </c>
      <c r="D148" s="77" t="s">
        <v>233</v>
      </c>
      <c r="E148" s="74">
        <v>10.99</v>
      </c>
      <c r="F148" s="31">
        <v>0.23</v>
      </c>
      <c r="G148" s="17"/>
      <c r="H148" s="17"/>
      <c r="I148" s="13"/>
      <c r="J148" s="23"/>
      <c r="K148" s="23"/>
      <c r="L148" s="26"/>
      <c r="M148" s="25">
        <f>((E148*K148)+(J148*E148*6))</f>
        <v>0</v>
      </c>
      <c r="N148" s="50"/>
      <c r="R148" s="70">
        <f t="shared" si="22"/>
        <v>8.9349593495934965</v>
      </c>
    </row>
    <row r="149" spans="1:19" s="2" customFormat="1" ht="18.95" customHeight="1">
      <c r="A149" s="11"/>
      <c r="B149" s="27"/>
      <c r="C149" s="62" t="s">
        <v>51</v>
      </c>
      <c r="D149" s="77" t="s">
        <v>233</v>
      </c>
      <c r="E149" s="74">
        <v>5.79</v>
      </c>
      <c r="F149" s="31">
        <v>0.23</v>
      </c>
      <c r="G149" s="46"/>
      <c r="H149" s="46"/>
      <c r="I149" s="26"/>
      <c r="J149" s="46"/>
      <c r="K149" s="23"/>
      <c r="L149" s="26"/>
      <c r="M149" s="25">
        <f>(E149*K149)</f>
        <v>0</v>
      </c>
      <c r="N149" s="50"/>
      <c r="R149" s="71">
        <f t="shared" si="22"/>
        <v>4.7073170731707314</v>
      </c>
      <c r="S149" s="33"/>
    </row>
    <row r="150" spans="1:19" s="2" customFormat="1" ht="18.95" customHeight="1">
      <c r="A150" s="11"/>
      <c r="B150" s="27"/>
      <c r="C150" s="62" t="s">
        <v>39</v>
      </c>
      <c r="D150" s="77" t="s">
        <v>233</v>
      </c>
      <c r="E150" s="74">
        <v>10.99</v>
      </c>
      <c r="F150" s="31">
        <v>0.23</v>
      </c>
      <c r="G150" s="17"/>
      <c r="H150" s="17"/>
      <c r="I150" s="13"/>
      <c r="J150" s="23"/>
      <c r="K150" s="23"/>
      <c r="L150" s="26"/>
      <c r="M150" s="25">
        <f>((E150*K150)+(J150*E150*6))</f>
        <v>0</v>
      </c>
      <c r="N150" s="50"/>
      <c r="R150" s="70">
        <f t="shared" si="22"/>
        <v>8.9349593495934965</v>
      </c>
    </row>
    <row r="151" spans="1:19" s="2" customFormat="1" ht="18.95" customHeight="1">
      <c r="A151" s="11"/>
      <c r="B151" s="27"/>
      <c r="C151" s="62" t="s">
        <v>112</v>
      </c>
      <c r="D151" s="77" t="s">
        <v>233</v>
      </c>
      <c r="E151" s="75">
        <v>9.9600000000000009</v>
      </c>
      <c r="F151" s="31">
        <v>0.23</v>
      </c>
      <c r="G151" s="46"/>
      <c r="H151" s="46"/>
      <c r="I151" s="26"/>
      <c r="J151" s="23"/>
      <c r="K151" s="23"/>
      <c r="L151" s="26"/>
      <c r="M151" s="25">
        <f>((E151*K151)+(J151*E151*6))</f>
        <v>0</v>
      </c>
      <c r="N151" s="50"/>
      <c r="R151" s="70">
        <f t="shared" si="22"/>
        <v>8.0975609756097562</v>
      </c>
    </row>
    <row r="152" spans="1:19" s="2" customFormat="1" ht="18.95" customHeight="1">
      <c r="A152" s="11"/>
      <c r="B152" s="27"/>
      <c r="C152" s="62" t="s">
        <v>111</v>
      </c>
      <c r="D152" s="77" t="s">
        <v>233</v>
      </c>
      <c r="E152" s="75">
        <v>14.99</v>
      </c>
      <c r="F152" s="31">
        <v>0.23</v>
      </c>
      <c r="G152" s="17"/>
      <c r="H152" s="17"/>
      <c r="I152" s="13"/>
      <c r="J152" s="46"/>
      <c r="K152" s="23"/>
      <c r="L152" s="26"/>
      <c r="M152" s="25">
        <f t="shared" ref="M152:M157" si="24">(E152*K152)</f>
        <v>0</v>
      </c>
      <c r="N152" s="50"/>
      <c r="R152" s="70">
        <f t="shared" si="22"/>
        <v>12.1869918699187</v>
      </c>
    </row>
    <row r="153" spans="1:19" s="2" customFormat="1" ht="18.95" customHeight="1">
      <c r="A153" s="11"/>
      <c r="B153" s="27"/>
      <c r="C153" s="62" t="s">
        <v>60</v>
      </c>
      <c r="D153" s="77" t="s">
        <v>233</v>
      </c>
      <c r="E153" s="75">
        <v>16.989999999999998</v>
      </c>
      <c r="F153" s="31">
        <v>0.23</v>
      </c>
      <c r="G153" s="46"/>
      <c r="H153" s="46"/>
      <c r="I153" s="26"/>
      <c r="J153" s="46"/>
      <c r="K153" s="23"/>
      <c r="L153" s="26"/>
      <c r="M153" s="25">
        <f t="shared" si="24"/>
        <v>0</v>
      </c>
      <c r="N153" s="50"/>
      <c r="R153" s="70">
        <f t="shared" si="22"/>
        <v>13.8130081300813</v>
      </c>
    </row>
    <row r="154" spans="1:19" s="2" customFormat="1" ht="18.95" customHeight="1">
      <c r="A154" s="11"/>
      <c r="B154" s="27"/>
      <c r="C154" s="62" t="s">
        <v>61</v>
      </c>
      <c r="D154" s="77" t="s">
        <v>233</v>
      </c>
      <c r="E154" s="75">
        <v>16.989999999999998</v>
      </c>
      <c r="F154" s="31">
        <v>0.23</v>
      </c>
      <c r="G154" s="17"/>
      <c r="H154" s="17"/>
      <c r="I154" s="13"/>
      <c r="J154" s="46"/>
      <c r="K154" s="23"/>
      <c r="L154" s="26"/>
      <c r="M154" s="25">
        <f t="shared" si="24"/>
        <v>0</v>
      </c>
      <c r="N154" s="50"/>
      <c r="R154" s="70">
        <f t="shared" si="22"/>
        <v>13.8130081300813</v>
      </c>
    </row>
    <row r="155" spans="1:19" s="2" customFormat="1" ht="18.95" customHeight="1">
      <c r="A155" s="11"/>
      <c r="B155" s="27"/>
      <c r="C155" s="62" t="s">
        <v>62</v>
      </c>
      <c r="D155" s="77" t="s">
        <v>233</v>
      </c>
      <c r="E155" s="75">
        <v>39.99</v>
      </c>
      <c r="F155" s="31">
        <v>0.23</v>
      </c>
      <c r="G155" s="17"/>
      <c r="H155" s="17"/>
      <c r="I155" s="13"/>
      <c r="J155" s="46"/>
      <c r="K155" s="23"/>
      <c r="L155" s="26"/>
      <c r="M155" s="25">
        <f t="shared" si="24"/>
        <v>0</v>
      </c>
      <c r="N155" s="50"/>
      <c r="R155" s="70">
        <f t="shared" si="22"/>
        <v>32.512195121951223</v>
      </c>
    </row>
    <row r="156" spans="1:19" s="2" customFormat="1" ht="18.95" customHeight="1">
      <c r="A156" s="11"/>
      <c r="B156" s="27"/>
      <c r="C156" s="62" t="s">
        <v>190</v>
      </c>
      <c r="D156" s="77" t="s">
        <v>233</v>
      </c>
      <c r="E156" s="75">
        <v>69.989999999999995</v>
      </c>
      <c r="F156" s="31">
        <v>0.23</v>
      </c>
      <c r="G156" s="17"/>
      <c r="H156" s="17"/>
      <c r="I156" s="13"/>
      <c r="J156" s="46"/>
      <c r="K156" s="23"/>
      <c r="L156" s="26"/>
      <c r="M156" s="25">
        <f t="shared" si="24"/>
        <v>0</v>
      </c>
      <c r="N156" s="50"/>
      <c r="R156" s="70">
        <f t="shared" ref="R156" si="25">E156/(1+F156)</f>
        <v>56.90243902439024</v>
      </c>
    </row>
    <row r="157" spans="1:19" s="7" customFormat="1" ht="18.95" customHeight="1">
      <c r="A157" s="12"/>
      <c r="B157" s="27"/>
      <c r="C157" s="62" t="s">
        <v>217</v>
      </c>
      <c r="D157" s="110" t="s">
        <v>231</v>
      </c>
      <c r="E157" s="75">
        <v>99.99</v>
      </c>
      <c r="F157" s="31">
        <v>0.23</v>
      </c>
      <c r="G157" s="17"/>
      <c r="H157" s="17"/>
      <c r="I157" s="13"/>
      <c r="J157" s="46"/>
      <c r="K157" s="23"/>
      <c r="L157" s="26"/>
      <c r="M157" s="25">
        <f t="shared" si="24"/>
        <v>0</v>
      </c>
      <c r="N157" s="67"/>
      <c r="R157" s="70">
        <f t="shared" ref="R157" si="26">E157/(1+F157)</f>
        <v>81.292682926829272</v>
      </c>
    </row>
    <row r="158" spans="1:19" s="2" customFormat="1" ht="18.95" customHeight="1">
      <c r="A158" s="11"/>
      <c r="B158" s="27"/>
      <c r="C158" s="62" t="s">
        <v>58</v>
      </c>
      <c r="D158" s="77" t="s">
        <v>233</v>
      </c>
      <c r="E158" s="75">
        <v>49.5</v>
      </c>
      <c r="F158" s="31">
        <v>0.23</v>
      </c>
      <c r="G158" s="17"/>
      <c r="H158" s="17"/>
      <c r="I158" s="13"/>
      <c r="J158" s="23"/>
      <c r="K158" s="23"/>
      <c r="L158" s="26"/>
      <c r="M158" s="25">
        <f t="shared" ref="M158:M171" si="27">((E158*K158)+(J158*E158*6))</f>
        <v>0</v>
      </c>
      <c r="N158" s="50"/>
      <c r="R158" s="70">
        <f t="shared" si="22"/>
        <v>40.243902439024389</v>
      </c>
    </row>
    <row r="159" spans="1:19" s="2" customFormat="1" ht="18.95" customHeight="1">
      <c r="A159" s="11"/>
      <c r="B159" s="27"/>
      <c r="C159" s="62" t="s">
        <v>68</v>
      </c>
      <c r="D159" s="77" t="s">
        <v>233</v>
      </c>
      <c r="E159" s="75">
        <v>79.5</v>
      </c>
      <c r="F159" s="31">
        <v>0.23</v>
      </c>
      <c r="G159" s="17"/>
      <c r="H159" s="17"/>
      <c r="I159" s="13"/>
      <c r="J159" s="23"/>
      <c r="K159" s="23"/>
      <c r="L159" s="26"/>
      <c r="M159" s="25">
        <f t="shared" si="27"/>
        <v>0</v>
      </c>
      <c r="N159" s="50"/>
      <c r="R159" s="70">
        <f t="shared" si="22"/>
        <v>64.634146341463421</v>
      </c>
    </row>
    <row r="160" spans="1:19" s="2" customFormat="1" ht="18.95" customHeight="1">
      <c r="A160" s="11"/>
      <c r="B160" s="27"/>
      <c r="C160" s="62" t="s">
        <v>64</v>
      </c>
      <c r="D160" s="77" t="s">
        <v>233</v>
      </c>
      <c r="E160" s="75">
        <v>79.5</v>
      </c>
      <c r="F160" s="31">
        <v>0.23</v>
      </c>
      <c r="G160" s="17"/>
      <c r="H160" s="17"/>
      <c r="I160" s="13"/>
      <c r="J160" s="23"/>
      <c r="K160" s="23"/>
      <c r="L160" s="26"/>
      <c r="M160" s="25">
        <f t="shared" si="27"/>
        <v>0</v>
      </c>
      <c r="N160" s="50"/>
      <c r="R160" s="70"/>
    </row>
    <row r="161" spans="1:19" s="2" customFormat="1" ht="18.95" customHeight="1">
      <c r="A161" s="11"/>
      <c r="B161" s="27"/>
      <c r="C161" s="62" t="s">
        <v>106</v>
      </c>
      <c r="D161" s="77" t="s">
        <v>233</v>
      </c>
      <c r="E161" s="75">
        <v>99</v>
      </c>
      <c r="F161" s="31">
        <v>0.23</v>
      </c>
      <c r="G161" s="17"/>
      <c r="H161" s="17"/>
      <c r="I161" s="13"/>
      <c r="J161" s="23"/>
      <c r="K161" s="23"/>
      <c r="L161" s="26"/>
      <c r="M161" s="25">
        <f t="shared" si="27"/>
        <v>0</v>
      </c>
      <c r="N161" s="50"/>
      <c r="R161" s="70"/>
    </row>
    <row r="162" spans="1:19" s="2" customFormat="1" ht="18.95" customHeight="1">
      <c r="A162" s="11"/>
      <c r="B162" s="27"/>
      <c r="C162" s="62" t="s">
        <v>113</v>
      </c>
      <c r="D162" s="77" t="s">
        <v>233</v>
      </c>
      <c r="E162" s="75">
        <v>175</v>
      </c>
      <c r="F162" s="31">
        <v>0.23</v>
      </c>
      <c r="G162" s="17"/>
      <c r="H162" s="17"/>
      <c r="I162" s="13"/>
      <c r="J162" s="23"/>
      <c r="K162" s="23"/>
      <c r="L162" s="26"/>
      <c r="M162" s="25">
        <f t="shared" ref="M162" si="28">((E162*K162)+(J162*E162*6))</f>
        <v>0</v>
      </c>
      <c r="N162" s="50"/>
      <c r="R162" s="70"/>
    </row>
    <row r="163" spans="1:19" s="2" customFormat="1" ht="18.95" customHeight="1">
      <c r="A163" s="11"/>
      <c r="B163" s="27"/>
      <c r="C163" s="62" t="s">
        <v>23</v>
      </c>
      <c r="D163" s="77" t="s">
        <v>233</v>
      </c>
      <c r="E163" s="75">
        <v>5.59</v>
      </c>
      <c r="F163" s="31">
        <v>0.23</v>
      </c>
      <c r="G163" s="17"/>
      <c r="H163" s="17"/>
      <c r="I163" s="13"/>
      <c r="J163" s="23"/>
      <c r="K163" s="23"/>
      <c r="L163" s="26"/>
      <c r="M163" s="25">
        <f t="shared" si="27"/>
        <v>0</v>
      </c>
      <c r="N163" s="50"/>
      <c r="R163" s="70">
        <f t="shared" ref="R163:R171" si="29">E163/(1+F163)</f>
        <v>4.5447154471544717</v>
      </c>
    </row>
    <row r="164" spans="1:19" s="2" customFormat="1" ht="18.95" customHeight="1">
      <c r="A164" s="11"/>
      <c r="B164" s="27"/>
      <c r="C164" s="62" t="s">
        <v>48</v>
      </c>
      <c r="D164" s="77" t="s">
        <v>233</v>
      </c>
      <c r="E164" s="75">
        <v>10.99</v>
      </c>
      <c r="F164" s="31">
        <v>0.23</v>
      </c>
      <c r="G164" s="17"/>
      <c r="H164" s="17"/>
      <c r="I164" s="13"/>
      <c r="J164" s="23"/>
      <c r="K164" s="23"/>
      <c r="L164" s="26"/>
      <c r="M164" s="25">
        <f t="shared" si="27"/>
        <v>0</v>
      </c>
      <c r="N164" s="50"/>
      <c r="R164" s="70">
        <f t="shared" si="29"/>
        <v>8.9349593495934965</v>
      </c>
    </row>
    <row r="165" spans="1:19" s="2" customFormat="1" ht="18.95" customHeight="1">
      <c r="A165" s="11"/>
      <c r="B165" s="27"/>
      <c r="C165" s="62" t="s">
        <v>191</v>
      </c>
      <c r="D165" s="77" t="s">
        <v>233</v>
      </c>
      <c r="E165" s="75">
        <v>16.989999999999998</v>
      </c>
      <c r="F165" s="31">
        <v>0.23</v>
      </c>
      <c r="G165" s="17"/>
      <c r="H165" s="17"/>
      <c r="I165" s="13"/>
      <c r="J165" s="23"/>
      <c r="K165" s="23"/>
      <c r="L165" s="26"/>
      <c r="M165" s="25">
        <f t="shared" si="27"/>
        <v>0</v>
      </c>
      <c r="N165" s="50"/>
      <c r="R165" s="71">
        <f t="shared" si="29"/>
        <v>13.8130081300813</v>
      </c>
      <c r="S165" s="33"/>
    </row>
    <row r="166" spans="1:19" s="2" customFormat="1" ht="18.95" customHeight="1">
      <c r="A166" s="11"/>
      <c r="B166" s="27"/>
      <c r="C166" s="62" t="s">
        <v>41</v>
      </c>
      <c r="D166" s="77" t="s">
        <v>233</v>
      </c>
      <c r="E166" s="75">
        <v>17.989999999999998</v>
      </c>
      <c r="F166" s="31">
        <v>0.23</v>
      </c>
      <c r="G166" s="17"/>
      <c r="H166" s="17"/>
      <c r="I166" s="13"/>
      <c r="J166" s="23"/>
      <c r="K166" s="23"/>
      <c r="L166" s="26"/>
      <c r="M166" s="25">
        <f t="shared" si="27"/>
        <v>0</v>
      </c>
      <c r="N166" s="50"/>
      <c r="R166" s="70">
        <f t="shared" si="29"/>
        <v>14.626016260162601</v>
      </c>
    </row>
    <row r="167" spans="1:19" s="2" customFormat="1" ht="18.95" customHeight="1">
      <c r="A167" s="11"/>
      <c r="B167" s="27"/>
      <c r="C167" s="62" t="s">
        <v>42</v>
      </c>
      <c r="D167" s="77" t="s">
        <v>233</v>
      </c>
      <c r="E167" s="75">
        <v>34.99</v>
      </c>
      <c r="F167" s="31">
        <v>0.23</v>
      </c>
      <c r="G167" s="17"/>
      <c r="H167" s="17"/>
      <c r="I167" s="13"/>
      <c r="J167" s="23"/>
      <c r="K167" s="23"/>
      <c r="L167" s="26"/>
      <c r="M167" s="25">
        <f t="shared" si="27"/>
        <v>0</v>
      </c>
      <c r="N167" s="50"/>
      <c r="R167" s="70">
        <f t="shared" si="29"/>
        <v>28.447154471544717</v>
      </c>
    </row>
    <row r="168" spans="1:19" s="2" customFormat="1" ht="18.95" customHeight="1">
      <c r="A168" s="11"/>
      <c r="B168" s="27"/>
      <c r="C168" s="62" t="s">
        <v>43</v>
      </c>
      <c r="D168" s="77" t="s">
        <v>233</v>
      </c>
      <c r="E168" s="75">
        <v>47.29</v>
      </c>
      <c r="F168" s="31">
        <v>0.23</v>
      </c>
      <c r="G168" s="17"/>
      <c r="H168" s="17"/>
      <c r="I168" s="13"/>
      <c r="J168" s="23"/>
      <c r="K168" s="23"/>
      <c r="L168" s="26"/>
      <c r="M168" s="25">
        <f t="shared" si="27"/>
        <v>0</v>
      </c>
      <c r="N168" s="50"/>
      <c r="R168" s="70">
        <f t="shared" si="29"/>
        <v>38.447154471544714</v>
      </c>
    </row>
    <row r="169" spans="1:19" s="2" customFormat="1" ht="18.95" customHeight="1">
      <c r="A169" s="11"/>
      <c r="B169" s="27"/>
      <c r="C169" s="62" t="s">
        <v>12</v>
      </c>
      <c r="D169" s="77" t="s">
        <v>233</v>
      </c>
      <c r="E169" s="75">
        <v>89.99</v>
      </c>
      <c r="F169" s="31">
        <v>0.23</v>
      </c>
      <c r="G169" s="17"/>
      <c r="H169" s="17"/>
      <c r="I169" s="13"/>
      <c r="J169" s="23"/>
      <c r="K169" s="23"/>
      <c r="L169" s="26"/>
      <c r="M169" s="25">
        <f t="shared" si="27"/>
        <v>0</v>
      </c>
      <c r="N169" s="50"/>
      <c r="P169" s="63">
        <f>SUM(M132:M169)</f>
        <v>0</v>
      </c>
      <c r="R169" s="70">
        <f t="shared" si="29"/>
        <v>73.162601626016254</v>
      </c>
    </row>
    <row r="170" spans="1:19" s="2" customFormat="1" ht="18.95" customHeight="1">
      <c r="A170" s="11"/>
      <c r="B170" s="27"/>
      <c r="C170" s="62" t="s">
        <v>63</v>
      </c>
      <c r="D170" s="77" t="s">
        <v>233</v>
      </c>
      <c r="E170" s="75">
        <v>59</v>
      </c>
      <c r="F170" s="31">
        <v>0.23</v>
      </c>
      <c r="G170" s="17"/>
      <c r="H170" s="17"/>
      <c r="I170" s="13"/>
      <c r="J170" s="23"/>
      <c r="K170" s="23"/>
      <c r="L170" s="26"/>
      <c r="M170" s="25">
        <f t="shared" si="27"/>
        <v>0</v>
      </c>
      <c r="N170" s="50"/>
      <c r="P170" s="63">
        <f>SUM(M132:M170)</f>
        <v>0</v>
      </c>
      <c r="R170" s="70">
        <f t="shared" si="29"/>
        <v>47.967479674796749</v>
      </c>
    </row>
    <row r="171" spans="1:19" s="2" customFormat="1" ht="18.95" customHeight="1">
      <c r="A171" s="11"/>
      <c r="B171" s="27"/>
      <c r="C171" s="62" t="s">
        <v>107</v>
      </c>
      <c r="D171" s="77" t="s">
        <v>233</v>
      </c>
      <c r="E171" s="75">
        <v>64.989999999999995</v>
      </c>
      <c r="F171" s="31">
        <v>0.23</v>
      </c>
      <c r="G171" s="17"/>
      <c r="H171" s="17"/>
      <c r="I171" s="13"/>
      <c r="J171" s="23"/>
      <c r="K171" s="23"/>
      <c r="L171" s="26"/>
      <c r="M171" s="25">
        <f t="shared" si="27"/>
        <v>0</v>
      </c>
      <c r="N171" s="50"/>
      <c r="P171" s="63">
        <f>SUM(M133:M171)</f>
        <v>0</v>
      </c>
      <c r="R171" s="70">
        <f t="shared" si="29"/>
        <v>52.837398373983739</v>
      </c>
    </row>
    <row r="172" spans="1:19" s="2" customFormat="1" ht="20.100000000000001" customHeight="1">
      <c r="A172" s="11"/>
      <c r="B172" s="6"/>
      <c r="C172" s="137" t="s">
        <v>22</v>
      </c>
      <c r="D172" s="78"/>
      <c r="E172" s="121" t="s">
        <v>237</v>
      </c>
      <c r="F172" s="122"/>
      <c r="G172" s="133" t="s">
        <v>7</v>
      </c>
      <c r="H172" s="134"/>
      <c r="I172" s="13"/>
      <c r="J172" s="29" t="s">
        <v>0</v>
      </c>
      <c r="K172" s="29" t="s">
        <v>1</v>
      </c>
      <c r="L172" s="30"/>
      <c r="M172" s="29" t="s">
        <v>65</v>
      </c>
      <c r="N172" s="50"/>
      <c r="R172" s="70"/>
    </row>
    <row r="173" spans="1:19" s="2" customFormat="1" ht="20.100000000000001" customHeight="1">
      <c r="A173" s="11"/>
      <c r="B173" s="6"/>
      <c r="C173" s="131"/>
      <c r="D173" s="79"/>
      <c r="E173" s="123"/>
      <c r="F173" s="124"/>
      <c r="G173" s="28" t="s">
        <v>5</v>
      </c>
      <c r="H173" s="28" t="s">
        <v>6</v>
      </c>
      <c r="I173" s="13"/>
      <c r="J173" s="29" t="s">
        <v>2</v>
      </c>
      <c r="K173" s="29" t="s">
        <v>24</v>
      </c>
      <c r="L173" s="30"/>
      <c r="M173" s="29" t="s">
        <v>3</v>
      </c>
      <c r="N173" s="50"/>
      <c r="R173" s="70"/>
    </row>
    <row r="174" spans="1:19" s="2" customFormat="1" ht="18.95" customHeight="1">
      <c r="A174" s="11"/>
      <c r="B174" s="27"/>
      <c r="C174" s="62" t="s">
        <v>20</v>
      </c>
      <c r="D174" s="77" t="s">
        <v>233</v>
      </c>
      <c r="E174" s="113">
        <v>9.49</v>
      </c>
      <c r="F174" s="31">
        <v>0.23</v>
      </c>
      <c r="G174" s="17"/>
      <c r="H174" s="17"/>
      <c r="I174" s="13"/>
      <c r="J174" s="23"/>
      <c r="K174" s="23"/>
      <c r="L174" s="26"/>
      <c r="M174" s="25">
        <f t="shared" ref="M174:M181" si="30">((E174*K174)+(J174*E174*6))</f>
        <v>0</v>
      </c>
      <c r="N174" s="50"/>
      <c r="R174" s="70">
        <f t="shared" ref="R174:R190" si="31">E174/(1+F174)</f>
        <v>7.7154471544715451</v>
      </c>
    </row>
    <row r="175" spans="1:19" s="2" customFormat="1" ht="18.95" customHeight="1">
      <c r="A175" s="11"/>
      <c r="B175" s="27"/>
      <c r="C175" s="62" t="s">
        <v>44</v>
      </c>
      <c r="D175" s="77" t="s">
        <v>233</v>
      </c>
      <c r="E175" s="113">
        <v>15.69</v>
      </c>
      <c r="F175" s="31">
        <v>0.23</v>
      </c>
      <c r="G175" s="17"/>
      <c r="H175" s="17"/>
      <c r="I175" s="13"/>
      <c r="J175" s="23"/>
      <c r="K175" s="23"/>
      <c r="L175" s="26"/>
      <c r="M175" s="25">
        <f t="shared" si="30"/>
        <v>0</v>
      </c>
      <c r="N175" s="50"/>
      <c r="R175" s="70">
        <f t="shared" si="31"/>
        <v>12.75609756097561</v>
      </c>
    </row>
    <row r="176" spans="1:19" s="2" customFormat="1" ht="18.95" customHeight="1">
      <c r="A176" s="11"/>
      <c r="B176" s="27"/>
      <c r="C176" s="62" t="s">
        <v>50</v>
      </c>
      <c r="D176" s="77" t="s">
        <v>233</v>
      </c>
      <c r="E176" s="113">
        <v>40.49</v>
      </c>
      <c r="F176" s="31">
        <v>0.23</v>
      </c>
      <c r="G176" s="17"/>
      <c r="H176" s="17"/>
      <c r="I176" s="13"/>
      <c r="J176" s="23"/>
      <c r="K176" s="23"/>
      <c r="L176" s="26"/>
      <c r="M176" s="25">
        <f t="shared" si="30"/>
        <v>0</v>
      </c>
      <c r="N176" s="50"/>
      <c r="R176" s="70">
        <f t="shared" si="31"/>
        <v>32.918699186991873</v>
      </c>
    </row>
    <row r="177" spans="1:19" s="2" customFormat="1" ht="18.95" customHeight="1">
      <c r="A177" s="11"/>
      <c r="B177" s="27"/>
      <c r="C177" s="62" t="s">
        <v>45</v>
      </c>
      <c r="D177" s="77" t="s">
        <v>233</v>
      </c>
      <c r="E177" s="113">
        <v>22.99</v>
      </c>
      <c r="F177" s="31">
        <v>0.23</v>
      </c>
      <c r="G177" s="17"/>
      <c r="H177" s="17"/>
      <c r="I177" s="13"/>
      <c r="J177" s="23"/>
      <c r="K177" s="23"/>
      <c r="L177" s="26"/>
      <c r="M177" s="25">
        <f t="shared" si="30"/>
        <v>0</v>
      </c>
      <c r="N177" s="50"/>
      <c r="R177" s="70">
        <f t="shared" si="31"/>
        <v>18.691056910569106</v>
      </c>
    </row>
    <row r="178" spans="1:19" s="2" customFormat="1" ht="18.95" customHeight="1">
      <c r="A178" s="11"/>
      <c r="B178" s="27"/>
      <c r="C178" s="62" t="s">
        <v>54</v>
      </c>
      <c r="D178" s="77" t="s">
        <v>233</v>
      </c>
      <c r="E178" s="113">
        <v>22.99</v>
      </c>
      <c r="F178" s="31">
        <v>0.23</v>
      </c>
      <c r="G178" s="17"/>
      <c r="H178" s="17"/>
      <c r="I178" s="13"/>
      <c r="J178" s="23"/>
      <c r="K178" s="23"/>
      <c r="L178" s="26"/>
      <c r="M178" s="25">
        <f t="shared" si="30"/>
        <v>0</v>
      </c>
      <c r="N178" s="50"/>
      <c r="R178" s="70">
        <f t="shared" si="31"/>
        <v>18.691056910569106</v>
      </c>
    </row>
    <row r="179" spans="1:19" s="2" customFormat="1" ht="18.95" customHeight="1">
      <c r="A179" s="11"/>
      <c r="B179" s="27"/>
      <c r="C179" s="62" t="s">
        <v>192</v>
      </c>
      <c r="D179" s="110" t="s">
        <v>231</v>
      </c>
      <c r="E179" s="113">
        <v>22.99</v>
      </c>
      <c r="F179" s="31">
        <v>0.23</v>
      </c>
      <c r="G179" s="17"/>
      <c r="H179" s="17"/>
      <c r="I179" s="13"/>
      <c r="J179" s="23"/>
      <c r="K179" s="23"/>
      <c r="L179" s="26"/>
      <c r="M179" s="25">
        <f t="shared" si="30"/>
        <v>0</v>
      </c>
      <c r="N179" s="50"/>
      <c r="R179" s="70">
        <f t="shared" si="31"/>
        <v>18.691056910569106</v>
      </c>
    </row>
    <row r="180" spans="1:19" s="2" customFormat="1" ht="18.95" customHeight="1">
      <c r="A180" s="11"/>
      <c r="B180" s="27"/>
      <c r="C180" s="62" t="s">
        <v>193</v>
      </c>
      <c r="D180" s="110" t="s">
        <v>231</v>
      </c>
      <c r="E180" s="113">
        <v>22.99</v>
      </c>
      <c r="F180" s="31">
        <v>0.23</v>
      </c>
      <c r="G180" s="17"/>
      <c r="H180" s="17"/>
      <c r="I180" s="13"/>
      <c r="J180" s="23"/>
      <c r="K180" s="23"/>
      <c r="L180" s="26"/>
      <c r="M180" s="25">
        <f t="shared" ref="M180" si="32">((E180*K180)+(J180*E180*6))</f>
        <v>0</v>
      </c>
      <c r="N180" s="50"/>
      <c r="R180" s="70">
        <f t="shared" ref="R180" si="33">E180/(1+F180)</f>
        <v>18.691056910569106</v>
      </c>
    </row>
    <row r="181" spans="1:19" s="2" customFormat="1" ht="18.95" customHeight="1">
      <c r="A181" s="11"/>
      <c r="B181" s="27"/>
      <c r="C181" s="62" t="s">
        <v>66</v>
      </c>
      <c r="D181" s="77" t="s">
        <v>233</v>
      </c>
      <c r="E181" s="113">
        <v>29.99</v>
      </c>
      <c r="F181" s="31">
        <v>0.23</v>
      </c>
      <c r="G181" s="46"/>
      <c r="H181" s="46"/>
      <c r="I181" s="26"/>
      <c r="J181" s="23"/>
      <c r="K181" s="23"/>
      <c r="L181" s="26"/>
      <c r="M181" s="25">
        <f t="shared" si="30"/>
        <v>0</v>
      </c>
      <c r="N181" s="50"/>
      <c r="R181" s="70">
        <f t="shared" si="31"/>
        <v>24.382113821138212</v>
      </c>
    </row>
    <row r="182" spans="1:19" s="2" customFormat="1" ht="18.95" customHeight="1">
      <c r="A182" s="11"/>
      <c r="B182" s="27"/>
      <c r="C182" s="62" t="s">
        <v>46</v>
      </c>
      <c r="D182" s="77" t="s">
        <v>233</v>
      </c>
      <c r="E182" s="113">
        <v>44.99</v>
      </c>
      <c r="F182" s="31">
        <v>0.23</v>
      </c>
      <c r="G182" s="46"/>
      <c r="H182" s="46"/>
      <c r="I182" s="26"/>
      <c r="J182" s="46"/>
      <c r="K182" s="23"/>
      <c r="L182" s="26"/>
      <c r="M182" s="25">
        <f>(E182*K182)</f>
        <v>0</v>
      </c>
      <c r="N182" s="50"/>
      <c r="R182" s="70">
        <f t="shared" si="31"/>
        <v>36.577235772357724</v>
      </c>
    </row>
    <row r="183" spans="1:19" s="2" customFormat="1" ht="18.95" customHeight="1">
      <c r="A183" s="11"/>
      <c r="B183" s="27"/>
      <c r="C183" s="62" t="s">
        <v>110</v>
      </c>
      <c r="D183" s="77" t="s">
        <v>233</v>
      </c>
      <c r="E183" s="113">
        <v>17.989999999999998</v>
      </c>
      <c r="F183" s="31">
        <v>0.23</v>
      </c>
      <c r="G183" s="46"/>
      <c r="H183" s="46"/>
      <c r="I183" s="26"/>
      <c r="J183" s="23"/>
      <c r="K183" s="23"/>
      <c r="L183" s="26"/>
      <c r="M183" s="25">
        <f t="shared" ref="M183:M186" si="34">((E183*K183)+(J183*E183*6))</f>
        <v>0</v>
      </c>
      <c r="N183" s="50"/>
      <c r="R183" s="70">
        <f t="shared" si="31"/>
        <v>14.626016260162601</v>
      </c>
    </row>
    <row r="184" spans="1:19" s="2" customFormat="1" ht="18.95" customHeight="1">
      <c r="A184" s="11"/>
      <c r="B184" s="27"/>
      <c r="C184" s="62" t="s">
        <v>108</v>
      </c>
      <c r="D184" s="77" t="s">
        <v>233</v>
      </c>
      <c r="E184" s="113">
        <v>39.99</v>
      </c>
      <c r="F184" s="31">
        <v>0.23</v>
      </c>
      <c r="G184" s="46"/>
      <c r="H184" s="46"/>
      <c r="I184" s="26"/>
      <c r="J184" s="23"/>
      <c r="K184" s="23"/>
      <c r="L184" s="26"/>
      <c r="M184" s="25">
        <f t="shared" si="34"/>
        <v>0</v>
      </c>
      <c r="N184" s="50"/>
      <c r="R184" s="70">
        <f t="shared" si="31"/>
        <v>32.512195121951223</v>
      </c>
    </row>
    <row r="185" spans="1:19" s="2" customFormat="1" ht="18.95" customHeight="1">
      <c r="A185" s="11"/>
      <c r="B185" s="27"/>
      <c r="C185" s="62" t="s">
        <v>194</v>
      </c>
      <c r="D185" s="110" t="s">
        <v>231</v>
      </c>
      <c r="E185" s="113">
        <v>55</v>
      </c>
      <c r="F185" s="31">
        <v>0.23</v>
      </c>
      <c r="G185" s="46"/>
      <c r="H185" s="46"/>
      <c r="I185" s="26"/>
      <c r="J185" s="23"/>
      <c r="K185" s="23"/>
      <c r="L185" s="26"/>
      <c r="M185" s="25">
        <f t="shared" ref="M185" si="35">((E185*K185)+(J185*E185*6))</f>
        <v>0</v>
      </c>
      <c r="N185" s="50"/>
      <c r="R185" s="70">
        <f t="shared" ref="R185" si="36">E185/(1+F185)</f>
        <v>44.715447154471548</v>
      </c>
    </row>
    <row r="186" spans="1:19" s="2" customFormat="1" ht="18.95" customHeight="1">
      <c r="A186" s="11"/>
      <c r="B186" s="27"/>
      <c r="C186" s="62" t="s">
        <v>109</v>
      </c>
      <c r="D186" s="77" t="s">
        <v>233</v>
      </c>
      <c r="E186" s="113">
        <v>49.99</v>
      </c>
      <c r="F186" s="31">
        <v>0.23</v>
      </c>
      <c r="G186" s="46"/>
      <c r="H186" s="46"/>
      <c r="I186" s="26"/>
      <c r="J186" s="23"/>
      <c r="K186" s="23"/>
      <c r="L186" s="26"/>
      <c r="M186" s="25">
        <f t="shared" si="34"/>
        <v>0</v>
      </c>
      <c r="N186" s="50"/>
      <c r="R186" s="70">
        <f t="shared" si="31"/>
        <v>40.642276422764233</v>
      </c>
    </row>
    <row r="187" spans="1:19" s="2" customFormat="1" ht="18.95" customHeight="1">
      <c r="A187" s="11"/>
      <c r="B187" s="27"/>
      <c r="C187" s="62" t="s">
        <v>195</v>
      </c>
      <c r="D187" s="110" t="s">
        <v>231</v>
      </c>
      <c r="E187" s="113">
        <v>39.99</v>
      </c>
      <c r="F187" s="31">
        <v>0.23</v>
      </c>
      <c r="G187" s="46"/>
      <c r="H187" s="46"/>
      <c r="I187" s="26"/>
      <c r="J187" s="23"/>
      <c r="K187" s="23"/>
      <c r="L187" s="26"/>
      <c r="M187" s="25">
        <f t="shared" ref="M187" si="37">((E187*K187)+(J187*E187*6))</f>
        <v>0</v>
      </c>
      <c r="N187" s="50"/>
      <c r="R187" s="70">
        <f t="shared" ref="R187" si="38">E187/(1+F187)</f>
        <v>32.512195121951223</v>
      </c>
    </row>
    <row r="188" spans="1:19" s="2" customFormat="1" ht="18.95" customHeight="1">
      <c r="A188" s="11"/>
      <c r="B188" s="27"/>
      <c r="C188" s="62" t="s">
        <v>196</v>
      </c>
      <c r="D188" s="110" t="s">
        <v>231</v>
      </c>
      <c r="E188" s="113">
        <v>45.99</v>
      </c>
      <c r="F188" s="31">
        <v>0.23</v>
      </c>
      <c r="G188" s="46"/>
      <c r="H188" s="46"/>
      <c r="I188" s="26"/>
      <c r="J188" s="23"/>
      <c r="K188" s="23"/>
      <c r="L188" s="26"/>
      <c r="M188" s="25">
        <f t="shared" ref="M188" si="39">((E188*K188)+(J188*E188*6))</f>
        <v>0</v>
      </c>
      <c r="N188" s="50"/>
      <c r="R188" s="70">
        <f t="shared" ref="R188" si="40">E188/(1+F188)</f>
        <v>37.390243902439025</v>
      </c>
    </row>
    <row r="189" spans="1:19" s="7" customFormat="1" ht="18.95" customHeight="1">
      <c r="A189" s="12"/>
      <c r="B189" s="27"/>
      <c r="C189" s="62" t="s">
        <v>226</v>
      </c>
      <c r="D189" s="77" t="s">
        <v>233</v>
      </c>
      <c r="E189" s="113">
        <v>14.99</v>
      </c>
      <c r="F189" s="31">
        <v>0.23</v>
      </c>
      <c r="G189" s="17"/>
      <c r="H189" s="17"/>
      <c r="I189" s="13"/>
      <c r="J189" s="23"/>
      <c r="K189" s="23"/>
      <c r="L189" s="26"/>
      <c r="M189" s="25">
        <f>((E189*K189)+(J189*E189*6))</f>
        <v>0</v>
      </c>
      <c r="N189" s="67"/>
      <c r="R189" s="71">
        <f t="shared" si="31"/>
        <v>12.1869918699187</v>
      </c>
      <c r="S189" s="33" t="s">
        <v>53</v>
      </c>
    </row>
    <row r="190" spans="1:19" s="7" customFormat="1" ht="18.95" customHeight="1">
      <c r="A190" s="12"/>
      <c r="B190" s="27"/>
      <c r="C190" s="62" t="s">
        <v>225</v>
      </c>
      <c r="D190" s="77" t="s">
        <v>233</v>
      </c>
      <c r="E190" s="113">
        <v>14.99</v>
      </c>
      <c r="F190" s="31">
        <v>0.23</v>
      </c>
      <c r="G190" s="17"/>
      <c r="H190" s="17"/>
      <c r="I190" s="13"/>
      <c r="J190" s="23"/>
      <c r="K190" s="23"/>
      <c r="L190" s="26"/>
      <c r="M190" s="25">
        <f>((E190*K190)+(J190*E190*6))</f>
        <v>0</v>
      </c>
      <c r="N190" s="67"/>
      <c r="R190" s="71">
        <f t="shared" si="31"/>
        <v>12.1869918699187</v>
      </c>
      <c r="S190" s="33" t="s">
        <v>53</v>
      </c>
    </row>
    <row r="191" spans="1:19" s="2" customFormat="1" ht="18.95" customHeight="1">
      <c r="A191" s="11"/>
      <c r="B191" s="27"/>
      <c r="C191" s="62" t="s">
        <v>85</v>
      </c>
      <c r="D191" s="77" t="s">
        <v>233</v>
      </c>
      <c r="E191" s="113">
        <v>17.989999999999998</v>
      </c>
      <c r="F191" s="31">
        <v>0.23</v>
      </c>
      <c r="G191" s="17"/>
      <c r="H191" s="17"/>
      <c r="I191" s="13"/>
      <c r="J191" s="23"/>
      <c r="K191" s="23"/>
      <c r="L191" s="26"/>
      <c r="M191" s="25">
        <f>((E191*K191)+(J191*E191*6))</f>
        <v>0</v>
      </c>
      <c r="N191" s="50"/>
      <c r="R191" s="71"/>
      <c r="S191" s="33"/>
    </row>
    <row r="192" spans="1:19" s="2" customFormat="1" ht="18.95" customHeight="1">
      <c r="A192" s="11"/>
      <c r="B192" s="27"/>
      <c r="C192" s="62" t="s">
        <v>69</v>
      </c>
      <c r="D192" s="77" t="s">
        <v>233</v>
      </c>
      <c r="E192" s="113">
        <v>13.99</v>
      </c>
      <c r="F192" s="31">
        <v>0.23</v>
      </c>
      <c r="G192" s="17"/>
      <c r="H192" s="17"/>
      <c r="I192" s="13"/>
      <c r="J192" s="23"/>
      <c r="K192" s="23"/>
      <c r="L192" s="26"/>
      <c r="M192" s="25">
        <f t="shared" ref="M192:M201" si="41">((E192*K192)+(J192*E192*6))</f>
        <v>0</v>
      </c>
      <c r="N192" s="50"/>
      <c r="R192" s="71">
        <f t="shared" ref="R192:R207" si="42">E192/(1+F192)</f>
        <v>11.373983739837399</v>
      </c>
      <c r="S192" s="33" t="s">
        <v>53</v>
      </c>
    </row>
    <row r="193" spans="1:18" s="2" customFormat="1" ht="18.95" customHeight="1">
      <c r="A193" s="11"/>
      <c r="B193" s="27"/>
      <c r="C193" s="62" t="s">
        <v>32</v>
      </c>
      <c r="D193" s="77" t="s">
        <v>233</v>
      </c>
      <c r="E193" s="113">
        <v>12.99</v>
      </c>
      <c r="F193" s="31">
        <v>0.23</v>
      </c>
      <c r="G193" s="17"/>
      <c r="H193" s="17"/>
      <c r="I193" s="13"/>
      <c r="J193" s="23"/>
      <c r="K193" s="23"/>
      <c r="L193" s="26"/>
      <c r="M193" s="25">
        <f t="shared" si="41"/>
        <v>0</v>
      </c>
      <c r="N193" s="50"/>
      <c r="R193" s="70">
        <f t="shared" si="42"/>
        <v>10.560975609756097</v>
      </c>
    </row>
    <row r="194" spans="1:18" s="2" customFormat="1" ht="18.95" customHeight="1">
      <c r="A194" s="11"/>
      <c r="B194" s="27"/>
      <c r="C194" s="62" t="s">
        <v>67</v>
      </c>
      <c r="D194" s="77" t="s">
        <v>233</v>
      </c>
      <c r="E194" s="113">
        <v>15.49</v>
      </c>
      <c r="F194" s="31">
        <v>0.23</v>
      </c>
      <c r="G194" s="89"/>
      <c r="H194" s="17"/>
      <c r="I194" s="13"/>
      <c r="J194" s="23"/>
      <c r="K194" s="23"/>
      <c r="L194" s="26"/>
      <c r="M194" s="25">
        <f t="shared" si="41"/>
        <v>0</v>
      </c>
      <c r="N194" s="50"/>
      <c r="R194" s="70">
        <f t="shared" si="42"/>
        <v>12.59349593495935</v>
      </c>
    </row>
    <row r="195" spans="1:18" s="2" customFormat="1" ht="18.95" customHeight="1">
      <c r="A195" s="11"/>
      <c r="B195" s="27"/>
      <c r="C195" s="62" t="s">
        <v>33</v>
      </c>
      <c r="D195" s="77" t="s">
        <v>233</v>
      </c>
      <c r="E195" s="113">
        <v>24.99</v>
      </c>
      <c r="F195" s="31">
        <v>0.23</v>
      </c>
      <c r="G195" s="17"/>
      <c r="H195" s="17"/>
      <c r="I195" s="13"/>
      <c r="J195" s="23"/>
      <c r="K195" s="23"/>
      <c r="L195" s="26"/>
      <c r="M195" s="25">
        <f t="shared" si="41"/>
        <v>0</v>
      </c>
      <c r="N195" s="50"/>
      <c r="R195" s="70">
        <f t="shared" si="42"/>
        <v>20.317073170731707</v>
      </c>
    </row>
    <row r="196" spans="1:18" s="2" customFormat="1" ht="18.95" customHeight="1">
      <c r="A196" s="11"/>
      <c r="B196" s="27"/>
      <c r="C196" s="62" t="s">
        <v>34</v>
      </c>
      <c r="D196" s="77" t="s">
        <v>233</v>
      </c>
      <c r="E196" s="113">
        <v>25.99</v>
      </c>
      <c r="F196" s="31">
        <v>0.23</v>
      </c>
      <c r="G196" s="17"/>
      <c r="H196" s="17"/>
      <c r="I196" s="13"/>
      <c r="J196" s="23"/>
      <c r="K196" s="23"/>
      <c r="L196" s="26"/>
      <c r="M196" s="25">
        <f t="shared" si="41"/>
        <v>0</v>
      </c>
      <c r="N196" s="50"/>
      <c r="R196" s="70">
        <f t="shared" si="42"/>
        <v>21.130081300813007</v>
      </c>
    </row>
    <row r="197" spans="1:18" s="7" customFormat="1" ht="18.95" customHeight="1">
      <c r="A197" s="12"/>
      <c r="B197" s="27"/>
      <c r="C197" s="62" t="s">
        <v>35</v>
      </c>
      <c r="D197" s="77" t="s">
        <v>233</v>
      </c>
      <c r="E197" s="113">
        <v>35.49</v>
      </c>
      <c r="F197" s="31">
        <v>0.23</v>
      </c>
      <c r="G197" s="17"/>
      <c r="H197" s="17"/>
      <c r="I197" s="13"/>
      <c r="J197" s="23"/>
      <c r="K197" s="23"/>
      <c r="L197" s="26"/>
      <c r="M197" s="25">
        <f t="shared" si="41"/>
        <v>0</v>
      </c>
      <c r="N197" s="67"/>
      <c r="R197" s="70">
        <f t="shared" si="42"/>
        <v>28.853658536585368</v>
      </c>
    </row>
    <row r="198" spans="1:18" s="7" customFormat="1" ht="18.95" customHeight="1">
      <c r="A198" s="12"/>
      <c r="B198" s="27"/>
      <c r="C198" s="62" t="s">
        <v>244</v>
      </c>
      <c r="D198" s="77" t="s">
        <v>233</v>
      </c>
      <c r="E198" s="113">
        <v>22.99</v>
      </c>
      <c r="F198" s="31">
        <v>0.23</v>
      </c>
      <c r="G198" s="17"/>
      <c r="H198" s="17"/>
      <c r="I198" s="13"/>
      <c r="J198" s="23"/>
      <c r="K198" s="23"/>
      <c r="L198" s="26"/>
      <c r="M198" s="25">
        <f t="shared" si="41"/>
        <v>0</v>
      </c>
      <c r="N198" s="67"/>
      <c r="R198" s="70">
        <f t="shared" si="42"/>
        <v>18.691056910569106</v>
      </c>
    </row>
    <row r="199" spans="1:18" s="7" customFormat="1" ht="18.95" customHeight="1">
      <c r="A199" s="12"/>
      <c r="B199" s="27"/>
      <c r="C199" s="62" t="s">
        <v>245</v>
      </c>
      <c r="D199" s="77" t="s">
        <v>233</v>
      </c>
      <c r="E199" s="113">
        <v>22.99</v>
      </c>
      <c r="F199" s="31">
        <v>0.23</v>
      </c>
      <c r="G199" s="17"/>
      <c r="H199" s="17"/>
      <c r="I199" s="13"/>
      <c r="J199" s="23"/>
      <c r="K199" s="23"/>
      <c r="L199" s="26"/>
      <c r="M199" s="25">
        <f t="shared" si="41"/>
        <v>0</v>
      </c>
      <c r="N199" s="67"/>
      <c r="R199" s="70">
        <f t="shared" si="42"/>
        <v>18.691056910569106</v>
      </c>
    </row>
    <row r="200" spans="1:18" s="7" customFormat="1" ht="18.95" customHeight="1">
      <c r="A200" s="12"/>
      <c r="B200" s="27"/>
      <c r="C200" s="62" t="s">
        <v>201</v>
      </c>
      <c r="D200" s="110" t="s">
        <v>231</v>
      </c>
      <c r="E200" s="113">
        <v>34.25</v>
      </c>
      <c r="F200" s="31">
        <v>0.23</v>
      </c>
      <c r="G200" s="17"/>
      <c r="H200" s="17"/>
      <c r="I200" s="13"/>
      <c r="J200" s="23"/>
      <c r="K200" s="23"/>
      <c r="L200" s="26"/>
      <c r="M200" s="25">
        <f t="shared" ref="M200" si="43">((E200*K200)+(J200*E200*6))</f>
        <v>0</v>
      </c>
      <c r="N200" s="67"/>
      <c r="R200" s="70">
        <f t="shared" ref="R200" si="44">E200/(1+F200)</f>
        <v>27.845528455284555</v>
      </c>
    </row>
    <row r="201" spans="1:18" s="7" customFormat="1" ht="18.95" customHeight="1">
      <c r="A201" s="12"/>
      <c r="B201" s="27"/>
      <c r="C201" s="62" t="s">
        <v>19</v>
      </c>
      <c r="D201" s="77" t="s">
        <v>233</v>
      </c>
      <c r="E201" s="113">
        <v>40.58</v>
      </c>
      <c r="F201" s="31">
        <v>0.23</v>
      </c>
      <c r="G201" s="17"/>
      <c r="H201" s="17"/>
      <c r="I201" s="13"/>
      <c r="J201" s="23"/>
      <c r="K201" s="23"/>
      <c r="L201" s="26"/>
      <c r="M201" s="25">
        <f t="shared" si="41"/>
        <v>0</v>
      </c>
      <c r="N201" s="67"/>
      <c r="R201" s="70">
        <f t="shared" si="42"/>
        <v>32.991869918699187</v>
      </c>
    </row>
    <row r="202" spans="1:18" s="2" customFormat="1" ht="18.95" customHeight="1">
      <c r="A202" s="11"/>
      <c r="B202" s="27"/>
      <c r="C202" s="62" t="s">
        <v>197</v>
      </c>
      <c r="D202" s="110" t="s">
        <v>231</v>
      </c>
      <c r="E202" s="113">
        <v>27.9</v>
      </c>
      <c r="F202" s="31">
        <v>0.23</v>
      </c>
      <c r="G202" s="89"/>
      <c r="H202" s="17"/>
      <c r="I202" s="13"/>
      <c r="J202" s="23"/>
      <c r="K202" s="23"/>
      <c r="L202" s="26"/>
      <c r="M202" s="25">
        <f t="shared" ref="M202:M203" si="45">((E202*K202)+(J202*E202*6))</f>
        <v>0</v>
      </c>
      <c r="N202" s="50"/>
      <c r="R202" s="70">
        <f t="shared" ref="R202:R203" si="46">E202/(1+F202)</f>
        <v>22.682926829268293</v>
      </c>
    </row>
    <row r="203" spans="1:18" s="2" customFormat="1" ht="18.95" customHeight="1">
      <c r="A203" s="11"/>
      <c r="B203" s="27"/>
      <c r="C203" s="62" t="s">
        <v>198</v>
      </c>
      <c r="D203" s="110" t="s">
        <v>231</v>
      </c>
      <c r="E203" s="113">
        <v>29.9</v>
      </c>
      <c r="F203" s="31">
        <v>0.23</v>
      </c>
      <c r="G203" s="89"/>
      <c r="H203" s="17"/>
      <c r="I203" s="13"/>
      <c r="J203" s="23"/>
      <c r="K203" s="23"/>
      <c r="L203" s="26"/>
      <c r="M203" s="25">
        <f t="shared" si="45"/>
        <v>0</v>
      </c>
      <c r="N203" s="50"/>
      <c r="R203" s="70">
        <f t="shared" si="46"/>
        <v>24.308943089430894</v>
      </c>
    </row>
    <row r="204" spans="1:18" s="2" customFormat="1" ht="18.95" customHeight="1">
      <c r="A204" s="11"/>
      <c r="B204" s="27"/>
      <c r="C204" s="62" t="s">
        <v>199</v>
      </c>
      <c r="D204" s="110" t="s">
        <v>231</v>
      </c>
      <c r="E204" s="113">
        <v>145</v>
      </c>
      <c r="F204" s="31">
        <v>0.23</v>
      </c>
      <c r="G204" s="89"/>
      <c r="H204" s="17"/>
      <c r="I204" s="13"/>
      <c r="J204" s="23"/>
      <c r="K204" s="23"/>
      <c r="L204" s="26"/>
      <c r="M204" s="25">
        <f t="shared" ref="M204" si="47">((E204*K204)+(J204*E204*6))</f>
        <v>0</v>
      </c>
      <c r="N204" s="50"/>
      <c r="R204" s="70">
        <f t="shared" ref="R204" si="48">E204/(1+F204)</f>
        <v>117.88617886178862</v>
      </c>
    </row>
    <row r="205" spans="1:18" s="2" customFormat="1" ht="18.95" customHeight="1">
      <c r="A205" s="11"/>
      <c r="B205" s="27"/>
      <c r="C205" s="62" t="s">
        <v>200</v>
      </c>
      <c r="D205" s="110" t="s">
        <v>231</v>
      </c>
      <c r="E205" s="113">
        <v>259</v>
      </c>
      <c r="F205" s="31">
        <v>0.23</v>
      </c>
      <c r="G205" s="89"/>
      <c r="H205" s="17"/>
      <c r="I205" s="13"/>
      <c r="J205" s="23"/>
      <c r="K205" s="23"/>
      <c r="L205" s="26"/>
      <c r="M205" s="25">
        <f t="shared" ref="M205" si="49">((E205*K205)+(J205*E205*6))</f>
        <v>0</v>
      </c>
      <c r="N205" s="50"/>
      <c r="R205" s="70">
        <f t="shared" ref="R205" si="50">E205/(1+F205)</f>
        <v>210.5691056910569</v>
      </c>
    </row>
    <row r="206" spans="1:18" s="2" customFormat="1" ht="18.95" customHeight="1">
      <c r="A206" s="11"/>
      <c r="B206" s="27"/>
      <c r="C206" s="62" t="s">
        <v>52</v>
      </c>
      <c r="D206" s="77" t="s">
        <v>233</v>
      </c>
      <c r="E206" s="113">
        <v>15.99</v>
      </c>
      <c r="F206" s="31">
        <v>0.23</v>
      </c>
      <c r="G206" s="23"/>
      <c r="H206" s="46"/>
      <c r="I206" s="26"/>
      <c r="J206" s="46"/>
      <c r="K206" s="23"/>
      <c r="L206" s="26"/>
      <c r="M206" s="25">
        <f>((G206*E206)*2)+(E206*K206)</f>
        <v>0</v>
      </c>
      <c r="N206" s="50"/>
      <c r="R206" s="70">
        <f t="shared" si="42"/>
        <v>13</v>
      </c>
    </row>
    <row r="207" spans="1:18" s="2" customFormat="1" ht="18.95" customHeight="1">
      <c r="A207" s="11"/>
      <c r="B207" s="27"/>
      <c r="C207" s="62" t="s">
        <v>47</v>
      </c>
      <c r="D207" s="77" t="s">
        <v>233</v>
      </c>
      <c r="E207" s="113">
        <v>49.99</v>
      </c>
      <c r="F207" s="31">
        <v>0.23</v>
      </c>
      <c r="G207" s="17"/>
      <c r="H207" s="17"/>
      <c r="I207" s="13"/>
      <c r="J207" s="23"/>
      <c r="K207" s="23"/>
      <c r="L207" s="26"/>
      <c r="M207" s="25">
        <f>((E207*K207)+(J207*E207*6))</f>
        <v>0</v>
      </c>
      <c r="N207" s="50"/>
      <c r="P207" s="63">
        <f>SUM(M174:M207)</f>
        <v>0</v>
      </c>
      <c r="R207" s="70">
        <f t="shared" si="42"/>
        <v>40.642276422764233</v>
      </c>
    </row>
    <row r="208" spans="1:18" s="2" customFormat="1" ht="18.95" customHeight="1">
      <c r="A208" s="11"/>
      <c r="B208" s="27"/>
      <c r="C208" s="125" t="s">
        <v>223</v>
      </c>
      <c r="D208" s="78"/>
      <c r="E208" s="121" t="s">
        <v>237</v>
      </c>
      <c r="F208" s="122"/>
      <c r="G208" s="114"/>
      <c r="H208" s="115"/>
      <c r="I208" s="114"/>
      <c r="J208" s="115"/>
      <c r="K208" s="29" t="s">
        <v>1</v>
      </c>
      <c r="L208" s="30"/>
      <c r="M208" s="29" t="s">
        <v>65</v>
      </c>
      <c r="N208" s="92"/>
      <c r="P208" s="63"/>
      <c r="R208" s="70"/>
    </row>
    <row r="209" spans="1:18" s="2" customFormat="1" ht="18.95" customHeight="1">
      <c r="A209" s="11"/>
      <c r="B209" s="27"/>
      <c r="C209" s="126"/>
      <c r="D209" s="79"/>
      <c r="E209" s="123"/>
      <c r="F209" s="124"/>
      <c r="G209" s="116"/>
      <c r="H209" s="117"/>
      <c r="I209" s="116"/>
      <c r="J209" s="117"/>
      <c r="K209" s="29" t="s">
        <v>24</v>
      </c>
      <c r="L209" s="30"/>
      <c r="M209" s="29" t="s">
        <v>3</v>
      </c>
      <c r="N209" s="92"/>
      <c r="P209" s="63"/>
      <c r="R209" s="70"/>
    </row>
    <row r="210" spans="1:18" s="33" customFormat="1" ht="18.95" customHeight="1">
      <c r="A210" s="32"/>
      <c r="B210" s="43"/>
      <c r="C210" s="107" t="s">
        <v>202</v>
      </c>
      <c r="D210" s="77" t="s">
        <v>232</v>
      </c>
      <c r="E210" s="75">
        <v>9.99</v>
      </c>
      <c r="F210" s="31">
        <v>0.13</v>
      </c>
      <c r="G210" s="46"/>
      <c r="H210" s="46"/>
      <c r="I210" s="26"/>
      <c r="J210" s="46"/>
      <c r="K210" s="23"/>
      <c r="L210" s="26"/>
      <c r="M210" s="25">
        <f t="shared" ref="M210:M225" si="51">(E210*K210)</f>
        <v>0</v>
      </c>
      <c r="N210" s="50"/>
      <c r="R210" s="72">
        <f t="shared" ref="R210:R218" si="52">E210/(1+F210)</f>
        <v>8.840707964601771</v>
      </c>
    </row>
    <row r="211" spans="1:18" s="33" customFormat="1" ht="18.95" customHeight="1">
      <c r="A211" s="32"/>
      <c r="B211" s="43"/>
      <c r="C211" s="73" t="s">
        <v>203</v>
      </c>
      <c r="D211" s="110" t="s">
        <v>231</v>
      </c>
      <c r="E211" s="75">
        <v>11.99</v>
      </c>
      <c r="F211" s="31">
        <v>0.13</v>
      </c>
      <c r="G211" s="46"/>
      <c r="H211" s="46"/>
      <c r="I211" s="26"/>
      <c r="J211" s="46"/>
      <c r="K211" s="23"/>
      <c r="L211" s="26"/>
      <c r="M211" s="25">
        <f t="shared" si="51"/>
        <v>0</v>
      </c>
      <c r="N211" s="50"/>
      <c r="R211" s="72">
        <f t="shared" si="52"/>
        <v>10.610619469026551</v>
      </c>
    </row>
    <row r="212" spans="1:18" s="33" customFormat="1" ht="18.95" customHeight="1">
      <c r="A212" s="32"/>
      <c r="B212" s="43"/>
      <c r="C212" s="73" t="s">
        <v>204</v>
      </c>
      <c r="D212" s="110" t="s">
        <v>231</v>
      </c>
      <c r="E212" s="75">
        <v>17.989999999999998</v>
      </c>
      <c r="F212" s="31">
        <v>0.13</v>
      </c>
      <c r="G212" s="46"/>
      <c r="H212" s="46"/>
      <c r="I212" s="26"/>
      <c r="J212" s="46"/>
      <c r="K212" s="23"/>
      <c r="L212" s="26"/>
      <c r="M212" s="25">
        <f t="shared" si="51"/>
        <v>0</v>
      </c>
      <c r="N212" s="50"/>
      <c r="R212" s="72">
        <f t="shared" si="52"/>
        <v>15.920353982300885</v>
      </c>
    </row>
    <row r="213" spans="1:18" s="33" customFormat="1" ht="18.95" customHeight="1">
      <c r="A213" s="32"/>
      <c r="B213" s="43"/>
      <c r="C213" s="73" t="s">
        <v>205</v>
      </c>
      <c r="D213" s="110" t="s">
        <v>231</v>
      </c>
      <c r="E213" s="75">
        <v>9.99</v>
      </c>
      <c r="F213" s="31">
        <v>0.13</v>
      </c>
      <c r="G213" s="46"/>
      <c r="H213" s="46"/>
      <c r="I213" s="26"/>
      <c r="J213" s="46"/>
      <c r="K213" s="23"/>
      <c r="L213" s="26"/>
      <c r="M213" s="25">
        <f t="shared" si="51"/>
        <v>0</v>
      </c>
      <c r="N213" s="50"/>
      <c r="R213" s="72">
        <f t="shared" si="52"/>
        <v>8.840707964601771</v>
      </c>
    </row>
    <row r="214" spans="1:18" s="33" customFormat="1" ht="18.95" customHeight="1">
      <c r="A214" s="32"/>
      <c r="B214" s="43"/>
      <c r="C214" s="73" t="s">
        <v>206</v>
      </c>
      <c r="D214" s="110" t="s">
        <v>231</v>
      </c>
      <c r="E214" s="75">
        <v>19.989999999999998</v>
      </c>
      <c r="F214" s="31">
        <v>0.13</v>
      </c>
      <c r="G214" s="46"/>
      <c r="H214" s="46"/>
      <c r="I214" s="26"/>
      <c r="J214" s="46"/>
      <c r="K214" s="23"/>
      <c r="L214" s="26"/>
      <c r="M214" s="25">
        <f t="shared" si="51"/>
        <v>0</v>
      </c>
      <c r="N214" s="50"/>
      <c r="R214" s="72">
        <f t="shared" si="52"/>
        <v>17.690265486725664</v>
      </c>
    </row>
    <row r="215" spans="1:18" s="33" customFormat="1" ht="18.95" customHeight="1">
      <c r="A215" s="32"/>
      <c r="B215" s="43"/>
      <c r="C215" s="73" t="s">
        <v>207</v>
      </c>
      <c r="D215" s="110" t="s">
        <v>231</v>
      </c>
      <c r="E215" s="75">
        <v>7.99</v>
      </c>
      <c r="F215" s="31">
        <v>0.13</v>
      </c>
      <c r="G215" s="46"/>
      <c r="H215" s="46"/>
      <c r="I215" s="26"/>
      <c r="J215" s="46"/>
      <c r="K215" s="23"/>
      <c r="L215" s="26"/>
      <c r="M215" s="25">
        <f t="shared" si="51"/>
        <v>0</v>
      </c>
      <c r="N215" s="50"/>
      <c r="R215" s="72">
        <f t="shared" si="52"/>
        <v>7.0707964601769921</v>
      </c>
    </row>
    <row r="216" spans="1:18" s="33" customFormat="1" ht="18.95" customHeight="1">
      <c r="A216" s="32"/>
      <c r="B216" s="43"/>
      <c r="C216" s="73" t="s">
        <v>208</v>
      </c>
      <c r="D216" s="77" t="s">
        <v>233</v>
      </c>
      <c r="E216" s="75">
        <v>11.99</v>
      </c>
      <c r="F216" s="31">
        <v>0.13</v>
      </c>
      <c r="G216" s="46"/>
      <c r="H216" s="46"/>
      <c r="I216" s="26"/>
      <c r="J216" s="46"/>
      <c r="K216" s="23"/>
      <c r="L216" s="26"/>
      <c r="M216" s="25">
        <f t="shared" si="51"/>
        <v>0</v>
      </c>
      <c r="N216" s="50"/>
      <c r="R216" s="72">
        <f t="shared" si="52"/>
        <v>10.610619469026551</v>
      </c>
    </row>
    <row r="217" spans="1:18" s="33" customFormat="1" ht="18.95" customHeight="1">
      <c r="A217" s="32"/>
      <c r="B217" s="43"/>
      <c r="C217" s="73" t="s">
        <v>209</v>
      </c>
      <c r="D217" s="77" t="s">
        <v>232</v>
      </c>
      <c r="E217" s="75">
        <v>13.49</v>
      </c>
      <c r="F217" s="31">
        <v>0.13</v>
      </c>
      <c r="G217" s="46"/>
      <c r="H217" s="46"/>
      <c r="I217" s="26"/>
      <c r="J217" s="46"/>
      <c r="K217" s="23"/>
      <c r="L217" s="26"/>
      <c r="M217" s="25">
        <f t="shared" si="51"/>
        <v>0</v>
      </c>
      <c r="N217" s="50"/>
      <c r="R217" s="72">
        <f t="shared" si="52"/>
        <v>11.938053097345135</v>
      </c>
    </row>
    <row r="218" spans="1:18" s="33" customFormat="1" ht="18.95" customHeight="1">
      <c r="A218" s="32"/>
      <c r="B218" s="43"/>
      <c r="C218" s="73" t="s">
        <v>246</v>
      </c>
      <c r="D218" s="77" t="s">
        <v>232</v>
      </c>
      <c r="E218" s="75">
        <v>19.489999999999998</v>
      </c>
      <c r="F218" s="31">
        <v>0.13</v>
      </c>
      <c r="G218" s="46"/>
      <c r="H218" s="46"/>
      <c r="I218" s="26"/>
      <c r="J218" s="46"/>
      <c r="K218" s="23"/>
      <c r="L218" s="26"/>
      <c r="M218" s="25">
        <f t="shared" ref="M218" si="53">(E218*K218)</f>
        <v>0</v>
      </c>
      <c r="N218" s="50"/>
      <c r="R218" s="72">
        <f t="shared" si="52"/>
        <v>17.247787610619469</v>
      </c>
    </row>
    <row r="219" spans="1:18" s="33" customFormat="1" ht="18.95" customHeight="1">
      <c r="A219" s="32"/>
      <c r="B219" s="43"/>
      <c r="C219" s="73" t="s">
        <v>210</v>
      </c>
      <c r="D219" s="110" t="s">
        <v>231</v>
      </c>
      <c r="E219" s="75">
        <v>60.99</v>
      </c>
      <c r="F219" s="31">
        <v>0.13</v>
      </c>
      <c r="G219" s="46"/>
      <c r="H219" s="46"/>
      <c r="I219" s="26"/>
      <c r="J219" s="46"/>
      <c r="K219" s="23"/>
      <c r="L219" s="26"/>
      <c r="M219" s="25">
        <f t="shared" si="51"/>
        <v>0</v>
      </c>
      <c r="N219" s="50"/>
      <c r="R219" s="72">
        <f t="shared" ref="R219:R222" si="54">E219/(1+F219)</f>
        <v>53.973451327433636</v>
      </c>
    </row>
    <row r="220" spans="1:18" s="33" customFormat="1" ht="18.95" customHeight="1">
      <c r="A220" s="32"/>
      <c r="B220" s="43"/>
      <c r="C220" s="73" t="s">
        <v>216</v>
      </c>
      <c r="D220" s="77" t="s">
        <v>232</v>
      </c>
      <c r="E220" s="75">
        <v>37.49</v>
      </c>
      <c r="F220" s="31">
        <v>0.23</v>
      </c>
      <c r="G220" s="46"/>
      <c r="H220" s="46"/>
      <c r="I220" s="26"/>
      <c r="J220" s="46"/>
      <c r="K220" s="23"/>
      <c r="L220" s="26"/>
      <c r="M220" s="25">
        <f>(E220*K220)</f>
        <v>0</v>
      </c>
      <c r="N220" s="50"/>
      <c r="R220" s="72">
        <f>E220/(1+F220)</f>
        <v>30.479674796747968</v>
      </c>
    </row>
    <row r="221" spans="1:18" s="33" customFormat="1" ht="18.95" customHeight="1">
      <c r="A221" s="32"/>
      <c r="B221" s="43"/>
      <c r="C221" s="73" t="s">
        <v>212</v>
      </c>
      <c r="D221" s="110" t="s">
        <v>231</v>
      </c>
      <c r="E221" s="75">
        <v>10.99</v>
      </c>
      <c r="F221" s="31">
        <v>0.23</v>
      </c>
      <c r="G221" s="46"/>
      <c r="H221" s="46"/>
      <c r="I221" s="26"/>
      <c r="J221" s="46"/>
      <c r="K221" s="23"/>
      <c r="L221" s="26"/>
      <c r="M221" s="25">
        <f>(E221*K221)</f>
        <v>0</v>
      </c>
      <c r="N221" s="50"/>
      <c r="R221" s="72">
        <f>E221/(1+F221)</f>
        <v>8.9349593495934965</v>
      </c>
    </row>
    <row r="222" spans="1:18" s="33" customFormat="1" ht="18.95" customHeight="1">
      <c r="A222" s="32"/>
      <c r="B222" s="43"/>
      <c r="C222" s="73" t="s">
        <v>211</v>
      </c>
      <c r="D222" s="110" t="s">
        <v>231</v>
      </c>
      <c r="E222" s="75">
        <v>10.99</v>
      </c>
      <c r="F222" s="31">
        <v>0.23</v>
      </c>
      <c r="G222" s="46"/>
      <c r="H222" s="46"/>
      <c r="I222" s="26"/>
      <c r="J222" s="46"/>
      <c r="K222" s="23"/>
      <c r="L222" s="26"/>
      <c r="M222" s="25">
        <f t="shared" si="51"/>
        <v>0</v>
      </c>
      <c r="N222" s="50"/>
      <c r="R222" s="72">
        <f t="shared" si="54"/>
        <v>8.9349593495934965</v>
      </c>
    </row>
    <row r="223" spans="1:18" s="33" customFormat="1" ht="18.95" customHeight="1">
      <c r="A223" s="32"/>
      <c r="B223" s="43"/>
      <c r="C223" s="62" t="s">
        <v>213</v>
      </c>
      <c r="D223" s="110" t="s">
        <v>231</v>
      </c>
      <c r="E223" s="75">
        <v>16.989999999999998</v>
      </c>
      <c r="F223" s="31">
        <v>0.23</v>
      </c>
      <c r="G223" s="46"/>
      <c r="H223" s="46"/>
      <c r="I223" s="26"/>
      <c r="J223" s="46"/>
      <c r="K223" s="23"/>
      <c r="L223" s="26"/>
      <c r="M223" s="25">
        <f t="shared" si="51"/>
        <v>0</v>
      </c>
      <c r="N223" s="50"/>
      <c r="R223" s="72">
        <f t="shared" ref="R223:R225" si="55">E223/(1+F223)</f>
        <v>13.8130081300813</v>
      </c>
    </row>
    <row r="224" spans="1:18" s="33" customFormat="1" ht="18.95" customHeight="1">
      <c r="A224" s="32"/>
      <c r="B224" s="43"/>
      <c r="C224" s="73" t="s">
        <v>215</v>
      </c>
      <c r="D224" s="110" t="s">
        <v>231</v>
      </c>
      <c r="E224" s="75">
        <v>12.99</v>
      </c>
      <c r="F224" s="31">
        <v>0.23</v>
      </c>
      <c r="G224" s="46"/>
      <c r="H224" s="46"/>
      <c r="I224" s="26"/>
      <c r="J224" s="46"/>
      <c r="K224" s="23"/>
      <c r="L224" s="26"/>
      <c r="M224" s="25">
        <f>(E224*K224)</f>
        <v>0</v>
      </c>
      <c r="N224" s="50"/>
      <c r="R224" s="72">
        <f t="shared" ref="R224" si="56">E224/(1+F224)</f>
        <v>10.560975609756097</v>
      </c>
    </row>
    <row r="225" spans="1:18" s="33" customFormat="1" ht="18.95" customHeight="1">
      <c r="A225" s="32"/>
      <c r="B225" s="43"/>
      <c r="C225" s="62" t="s">
        <v>214</v>
      </c>
      <c r="D225" s="77" t="s">
        <v>232</v>
      </c>
      <c r="E225" s="75">
        <v>15.69</v>
      </c>
      <c r="F225" s="31">
        <v>0.23</v>
      </c>
      <c r="G225" s="46"/>
      <c r="H225" s="46"/>
      <c r="I225" s="26"/>
      <c r="J225" s="46"/>
      <c r="K225" s="23"/>
      <c r="L225" s="26"/>
      <c r="M225" s="25">
        <f t="shared" si="51"/>
        <v>0</v>
      </c>
      <c r="N225" s="50"/>
      <c r="R225" s="72">
        <f t="shared" si="55"/>
        <v>12.75609756097561</v>
      </c>
    </row>
    <row r="226" spans="1:18" s="33" customFormat="1" ht="18.95" customHeight="1">
      <c r="A226" s="32"/>
      <c r="B226" s="43"/>
      <c r="C226" s="62" t="s">
        <v>253</v>
      </c>
      <c r="D226" s="77" t="s">
        <v>233</v>
      </c>
      <c r="E226" s="90">
        <v>17.989999999999998</v>
      </c>
      <c r="F226" s="112"/>
      <c r="G226" s="46"/>
      <c r="H226" s="46"/>
      <c r="I226" s="26"/>
      <c r="J226" s="46"/>
      <c r="K226" s="23"/>
      <c r="L226" s="26"/>
      <c r="M226" s="25">
        <f>(E226*K226)</f>
        <v>0</v>
      </c>
      <c r="N226" s="92"/>
      <c r="R226" s="72"/>
    </row>
    <row r="227" spans="1:18" s="33" customFormat="1" ht="18.95" customHeight="1">
      <c r="A227" s="32"/>
      <c r="B227" s="43"/>
      <c r="C227" s="62" t="s">
        <v>248</v>
      </c>
      <c r="D227" s="77" t="s">
        <v>233</v>
      </c>
      <c r="E227" s="90">
        <v>12.99</v>
      </c>
      <c r="F227" s="112"/>
      <c r="G227" s="46"/>
      <c r="H227" s="46"/>
      <c r="I227" s="26"/>
      <c r="J227" s="46"/>
      <c r="K227" s="23"/>
      <c r="L227" s="26"/>
      <c r="M227" s="25">
        <f t="shared" ref="M227:M233" si="57">(E227*K227)</f>
        <v>0</v>
      </c>
      <c r="N227" s="92"/>
      <c r="R227" s="72"/>
    </row>
    <row r="228" spans="1:18" s="33" customFormat="1" ht="18.95" customHeight="1">
      <c r="A228" s="32"/>
      <c r="B228" s="43"/>
      <c r="C228" s="62" t="s">
        <v>250</v>
      </c>
      <c r="D228" s="77" t="s">
        <v>233</v>
      </c>
      <c r="E228" s="90">
        <v>24.99</v>
      </c>
      <c r="F228" s="112"/>
      <c r="G228" s="46"/>
      <c r="H228" s="46"/>
      <c r="I228" s="26"/>
      <c r="J228" s="46"/>
      <c r="K228" s="23"/>
      <c r="L228" s="26"/>
      <c r="M228" s="25">
        <f t="shared" si="57"/>
        <v>0</v>
      </c>
      <c r="N228" s="92"/>
      <c r="R228" s="72"/>
    </row>
    <row r="229" spans="1:18" s="33" customFormat="1" ht="18.95" customHeight="1">
      <c r="A229" s="32"/>
      <c r="B229" s="43"/>
      <c r="C229" s="62" t="s">
        <v>249</v>
      </c>
      <c r="D229" s="77"/>
      <c r="E229" s="90">
        <v>25.99</v>
      </c>
      <c r="F229" s="112"/>
      <c r="G229" s="46"/>
      <c r="H229" s="46"/>
      <c r="I229" s="26"/>
      <c r="J229" s="46"/>
      <c r="K229" s="23"/>
      <c r="L229" s="26"/>
      <c r="M229" s="25">
        <f t="shared" si="57"/>
        <v>0</v>
      </c>
      <c r="N229" s="92"/>
      <c r="R229" s="72"/>
    </row>
    <row r="230" spans="1:18" s="33" customFormat="1" ht="18.95" customHeight="1">
      <c r="A230" s="32"/>
      <c r="B230" s="43"/>
      <c r="C230" s="62" t="s">
        <v>251</v>
      </c>
      <c r="D230" s="77"/>
      <c r="E230" s="90">
        <v>35.49</v>
      </c>
      <c r="F230" s="112"/>
      <c r="G230" s="46"/>
      <c r="H230" s="46"/>
      <c r="I230" s="26"/>
      <c r="J230" s="46"/>
      <c r="K230" s="23"/>
      <c r="L230" s="26"/>
      <c r="M230" s="25">
        <f t="shared" si="57"/>
        <v>0</v>
      </c>
      <c r="N230" s="92"/>
      <c r="R230" s="72"/>
    </row>
    <row r="231" spans="1:18" s="33" customFormat="1" ht="18.95" customHeight="1">
      <c r="A231" s="32"/>
      <c r="B231" s="43"/>
      <c r="C231" s="62" t="s">
        <v>252</v>
      </c>
      <c r="D231" s="77"/>
      <c r="E231" s="90">
        <v>34.25</v>
      </c>
      <c r="F231" s="112"/>
      <c r="G231" s="46"/>
      <c r="H231" s="46"/>
      <c r="I231" s="26"/>
      <c r="J231" s="46"/>
      <c r="K231" s="23"/>
      <c r="L231" s="26"/>
      <c r="M231" s="25">
        <f t="shared" ref="M231:M232" si="58">(E231*K231)</f>
        <v>0</v>
      </c>
      <c r="N231" s="92"/>
      <c r="R231" s="72"/>
    </row>
    <row r="232" spans="1:18" s="33" customFormat="1" ht="18.95" customHeight="1">
      <c r="A232" s="32"/>
      <c r="B232" s="43"/>
      <c r="C232" s="62" t="s">
        <v>263</v>
      </c>
      <c r="D232" s="77"/>
      <c r="E232" s="90">
        <v>27.9</v>
      </c>
      <c r="F232" s="112"/>
      <c r="G232" s="46"/>
      <c r="H232" s="46"/>
      <c r="I232" s="26"/>
      <c r="J232" s="46"/>
      <c r="K232" s="23"/>
      <c r="L232" s="26"/>
      <c r="M232" s="25">
        <f t="shared" si="58"/>
        <v>0</v>
      </c>
      <c r="N232" s="92"/>
      <c r="R232" s="72"/>
    </row>
    <row r="233" spans="1:18" s="33" customFormat="1" ht="18.95" customHeight="1">
      <c r="A233" s="32"/>
      <c r="B233" s="43"/>
      <c r="C233" s="62" t="s">
        <v>265</v>
      </c>
      <c r="D233" s="77"/>
      <c r="E233" s="90">
        <v>46</v>
      </c>
      <c r="F233" s="112"/>
      <c r="G233" s="46"/>
      <c r="H233" s="46"/>
      <c r="I233" s="26"/>
      <c r="J233" s="46"/>
      <c r="K233" s="23"/>
      <c r="L233" s="26"/>
      <c r="M233" s="25">
        <f t="shared" si="57"/>
        <v>0</v>
      </c>
      <c r="N233" s="92"/>
      <c r="R233" s="72"/>
    </row>
    <row r="234" spans="1:18" s="2" customFormat="1" ht="18.95" customHeight="1">
      <c r="A234" s="11"/>
      <c r="B234" s="27"/>
      <c r="C234" s="125" t="s">
        <v>264</v>
      </c>
      <c r="D234" s="78"/>
      <c r="E234" s="121" t="s">
        <v>237</v>
      </c>
      <c r="F234" s="122"/>
      <c r="G234" s="114"/>
      <c r="H234" s="118"/>
      <c r="I234" s="79"/>
      <c r="J234" s="93" t="s">
        <v>114</v>
      </c>
      <c r="K234" s="93" t="s">
        <v>114</v>
      </c>
      <c r="L234" s="94"/>
      <c r="M234" s="93" t="s">
        <v>65</v>
      </c>
      <c r="N234" s="92"/>
      <c r="P234" s="63"/>
      <c r="R234" s="70"/>
    </row>
    <row r="235" spans="1:18" s="2" customFormat="1" ht="18.95" customHeight="1">
      <c r="A235" s="11"/>
      <c r="B235" s="27"/>
      <c r="C235" s="126"/>
      <c r="D235" s="78"/>
      <c r="E235" s="123"/>
      <c r="F235" s="124"/>
      <c r="G235" s="119"/>
      <c r="H235" s="120"/>
      <c r="I235" s="79"/>
      <c r="J235" s="93" t="s">
        <v>115</v>
      </c>
      <c r="K235" s="93" t="s">
        <v>116</v>
      </c>
      <c r="L235" s="94"/>
      <c r="M235" s="93" t="s">
        <v>124</v>
      </c>
      <c r="N235" s="92"/>
      <c r="P235" s="63"/>
      <c r="R235" s="70"/>
    </row>
    <row r="236" spans="1:18" s="2" customFormat="1" ht="18.95" customHeight="1">
      <c r="A236" s="11"/>
      <c r="B236" s="27"/>
      <c r="C236" s="95" t="s">
        <v>121</v>
      </c>
      <c r="D236" s="81">
        <v>10.75</v>
      </c>
      <c r="E236" s="81">
        <f>11.9*(1+F236)</f>
        <v>13.446999999999999</v>
      </c>
      <c r="F236" s="31">
        <v>0.13</v>
      </c>
      <c r="G236" s="108"/>
      <c r="H236" s="108"/>
      <c r="I236" s="13"/>
      <c r="J236" s="97"/>
      <c r="K236" s="97"/>
      <c r="L236" s="96"/>
      <c r="M236" s="25">
        <f>((J236*D236)+(K236*E236))</f>
        <v>0</v>
      </c>
      <c r="N236" s="92"/>
      <c r="P236" s="63"/>
      <c r="R236" s="70"/>
    </row>
    <row r="237" spans="1:18" s="2" customFormat="1" ht="18.95" customHeight="1">
      <c r="A237" s="11"/>
      <c r="B237" s="27"/>
      <c r="C237" s="95" t="s">
        <v>255</v>
      </c>
      <c r="D237" s="81">
        <f>12.7*(1+F237)</f>
        <v>14.350999999999997</v>
      </c>
      <c r="E237" s="81">
        <v>17.05</v>
      </c>
      <c r="F237" s="31">
        <v>0.13</v>
      </c>
      <c r="G237" s="108"/>
      <c r="H237" s="108"/>
      <c r="I237" s="13"/>
      <c r="J237" s="97"/>
      <c r="K237" s="97"/>
      <c r="L237" s="96"/>
      <c r="M237" s="25">
        <f>((J237*D237)+(K237*E237))</f>
        <v>0</v>
      </c>
      <c r="N237" s="92"/>
      <c r="P237" s="63"/>
      <c r="R237" s="70"/>
    </row>
    <row r="238" spans="1:18" s="2" customFormat="1" ht="18.95" customHeight="1">
      <c r="A238" s="11"/>
      <c r="B238" s="27"/>
      <c r="C238" s="95" t="s">
        <v>254</v>
      </c>
      <c r="D238" s="81">
        <v>21.6</v>
      </c>
      <c r="E238" s="106"/>
      <c r="F238" s="31">
        <v>0.13</v>
      </c>
      <c r="G238" s="108"/>
      <c r="H238" s="108"/>
      <c r="I238" s="13"/>
      <c r="J238" s="97"/>
      <c r="K238" s="102"/>
      <c r="L238" s="96"/>
      <c r="M238" s="25">
        <f>(J238*G238)*(1+F238)</f>
        <v>0</v>
      </c>
      <c r="N238" s="92"/>
      <c r="P238" s="63"/>
      <c r="R238" s="70"/>
    </row>
    <row r="239" spans="1:18" s="2" customFormat="1" ht="18.95" customHeight="1">
      <c r="A239" s="11"/>
      <c r="B239" s="27"/>
      <c r="C239" s="95" t="s">
        <v>218</v>
      </c>
      <c r="D239" s="81">
        <v>12.55</v>
      </c>
      <c r="E239" s="81">
        <v>15.25</v>
      </c>
      <c r="F239" s="31">
        <v>0.13</v>
      </c>
      <c r="G239" s="108"/>
      <c r="H239" s="108"/>
      <c r="I239" s="13"/>
      <c r="J239" s="97"/>
      <c r="K239" s="97"/>
      <c r="L239" s="96"/>
      <c r="M239" s="25">
        <f>((J239*D239)+(K239*E239))</f>
        <v>0</v>
      </c>
      <c r="N239" s="92"/>
      <c r="P239" s="63"/>
      <c r="R239" s="70"/>
    </row>
    <row r="240" spans="1:18" s="2" customFormat="1" ht="18.95" customHeight="1">
      <c r="A240" s="11"/>
      <c r="B240" s="27"/>
      <c r="C240" s="95" t="s">
        <v>260</v>
      </c>
      <c r="D240" s="81">
        <v>17.7</v>
      </c>
      <c r="E240" s="106"/>
      <c r="F240" s="31">
        <v>0.13</v>
      </c>
      <c r="G240" s="108"/>
      <c r="H240" s="108"/>
      <c r="I240" s="13"/>
      <c r="J240" s="97"/>
      <c r="K240" s="102"/>
      <c r="L240" s="96"/>
      <c r="M240" s="25">
        <f>J240*D240</f>
        <v>0</v>
      </c>
      <c r="N240" s="92"/>
      <c r="P240" s="63"/>
      <c r="R240" s="70"/>
    </row>
    <row r="241" spans="1:18" s="2" customFormat="1" ht="18.95" customHeight="1">
      <c r="A241" s="11"/>
      <c r="B241" s="27"/>
      <c r="C241" s="95" t="s">
        <v>256</v>
      </c>
      <c r="D241" s="81">
        <f>21.5* (1+F241)</f>
        <v>24.294999999999998</v>
      </c>
      <c r="E241" s="106"/>
      <c r="F241" s="31">
        <v>0.13</v>
      </c>
      <c r="G241" s="108"/>
      <c r="H241" s="108"/>
      <c r="I241" s="13"/>
      <c r="J241" s="97"/>
      <c r="K241" s="102"/>
      <c r="L241" s="96"/>
      <c r="M241" s="25">
        <f>J241*D241</f>
        <v>0</v>
      </c>
      <c r="N241" s="92"/>
      <c r="P241" s="63"/>
      <c r="R241" s="70"/>
    </row>
    <row r="242" spans="1:18" s="2" customFormat="1" ht="18.95" customHeight="1">
      <c r="A242" s="11"/>
      <c r="B242" s="27"/>
      <c r="C242" s="95" t="s">
        <v>258</v>
      </c>
      <c r="D242" s="81">
        <v>11.4</v>
      </c>
      <c r="E242" s="81">
        <v>14.15</v>
      </c>
      <c r="F242" s="31">
        <v>0.13</v>
      </c>
      <c r="G242" s="108"/>
      <c r="H242" s="108"/>
      <c r="I242" s="13"/>
      <c r="J242" s="97"/>
      <c r="K242" s="97"/>
      <c r="L242" s="96"/>
      <c r="M242" s="25">
        <f>((J242*D242)+(K242*E242))</f>
        <v>0</v>
      </c>
      <c r="N242" s="92"/>
      <c r="P242" s="63"/>
      <c r="R242" s="70"/>
    </row>
    <row r="243" spans="1:18" s="2" customFormat="1" ht="18.95" customHeight="1">
      <c r="A243" s="11"/>
      <c r="B243" s="27"/>
      <c r="C243" s="95" t="s">
        <v>257</v>
      </c>
      <c r="D243" s="81">
        <v>24.8</v>
      </c>
      <c r="E243" s="81"/>
      <c r="F243" s="31">
        <v>0.13</v>
      </c>
      <c r="G243" s="108"/>
      <c r="H243" s="108"/>
      <c r="I243" s="13"/>
      <c r="J243" s="97"/>
      <c r="K243" s="102"/>
      <c r="L243" s="96"/>
      <c r="M243" s="25">
        <f>J243*D243</f>
        <v>0</v>
      </c>
      <c r="N243" s="92"/>
      <c r="P243" s="63"/>
      <c r="R243" s="70"/>
    </row>
    <row r="244" spans="1:18" s="2" customFormat="1" ht="18.95" customHeight="1">
      <c r="A244" s="11"/>
      <c r="B244" s="27"/>
      <c r="C244" s="98"/>
      <c r="D244" s="81"/>
      <c r="E244" s="81"/>
      <c r="F244" s="91"/>
      <c r="G244" s="108"/>
      <c r="H244" s="108"/>
      <c r="I244" s="13"/>
      <c r="J244" s="93" t="s">
        <v>117</v>
      </c>
      <c r="K244" s="93" t="s">
        <v>118</v>
      </c>
      <c r="L244" s="94"/>
      <c r="M244" s="93" t="s">
        <v>125</v>
      </c>
      <c r="N244" s="92"/>
      <c r="P244" s="63"/>
      <c r="R244" s="70"/>
    </row>
    <row r="245" spans="1:18" s="2" customFormat="1" ht="18.95" customHeight="1">
      <c r="A245" s="11"/>
      <c r="B245" s="27"/>
      <c r="C245" s="95" t="s">
        <v>219</v>
      </c>
      <c r="D245" s="81">
        <v>30.95</v>
      </c>
      <c r="E245" s="81">
        <v>34.549999999999997</v>
      </c>
      <c r="F245" s="31">
        <v>0.13</v>
      </c>
      <c r="G245" s="108"/>
      <c r="H245" s="108"/>
      <c r="I245" s="13"/>
      <c r="J245" s="97"/>
      <c r="K245" s="97"/>
      <c r="L245" s="96"/>
      <c r="M245" s="25">
        <f>((J245*D245)+(K245*E245))</f>
        <v>0</v>
      </c>
      <c r="N245" s="92"/>
      <c r="P245" s="63"/>
      <c r="R245" s="70"/>
    </row>
    <row r="246" spans="1:18" s="2" customFormat="1" ht="18.95" customHeight="1">
      <c r="A246" s="11"/>
      <c r="B246" s="27"/>
      <c r="C246" s="125" t="s">
        <v>119</v>
      </c>
      <c r="D246" s="81"/>
      <c r="E246" s="81"/>
      <c r="F246" s="91"/>
      <c r="G246" s="114"/>
      <c r="H246" s="118"/>
      <c r="I246" s="79"/>
      <c r="J246" s="104" t="s">
        <v>114</v>
      </c>
      <c r="K246" s="104" t="s">
        <v>114</v>
      </c>
      <c r="L246" s="94"/>
      <c r="M246" s="93" t="s">
        <v>65</v>
      </c>
      <c r="N246" s="92"/>
      <c r="P246" s="63"/>
      <c r="R246" s="70"/>
    </row>
    <row r="247" spans="1:18" s="2" customFormat="1" ht="18.95" customHeight="1">
      <c r="A247" s="11"/>
      <c r="B247" s="27"/>
      <c r="C247" s="126"/>
      <c r="D247" s="81"/>
      <c r="E247" s="81"/>
      <c r="F247" s="91"/>
      <c r="G247" s="119"/>
      <c r="H247" s="120"/>
      <c r="I247" s="79"/>
      <c r="J247" s="93" t="s">
        <v>123</v>
      </c>
      <c r="K247" s="93" t="s">
        <v>120</v>
      </c>
      <c r="L247" s="94"/>
      <c r="M247" s="93" t="s">
        <v>3</v>
      </c>
      <c r="N247" s="92"/>
      <c r="P247" s="63"/>
      <c r="R247" s="70"/>
    </row>
    <row r="248" spans="1:18" s="2" customFormat="1" ht="18.95" customHeight="1">
      <c r="A248" s="11"/>
      <c r="B248" s="27"/>
      <c r="C248" s="95" t="s">
        <v>122</v>
      </c>
      <c r="D248" s="81">
        <v>17.149999999999999</v>
      </c>
      <c r="E248" s="81">
        <v>23.3</v>
      </c>
      <c r="F248" s="31">
        <v>0.23</v>
      </c>
      <c r="G248" s="108"/>
      <c r="H248" s="108"/>
      <c r="I248" s="13"/>
      <c r="J248" s="97"/>
      <c r="K248" s="97"/>
      <c r="L248" s="96"/>
      <c r="M248" s="25">
        <f>((J248*D248)+(K248*E248))</f>
        <v>0</v>
      </c>
      <c r="N248" s="92"/>
      <c r="P248" s="63"/>
      <c r="R248" s="70"/>
    </row>
    <row r="249" spans="1:18" s="2" customFormat="1" ht="18.95" customHeight="1">
      <c r="A249" s="11"/>
      <c r="B249" s="27"/>
      <c r="C249" s="99"/>
      <c r="D249" s="81"/>
      <c r="E249" s="81"/>
      <c r="F249" s="91"/>
      <c r="G249" s="108"/>
      <c r="H249" s="108"/>
      <c r="I249" s="13"/>
      <c r="J249" s="109"/>
      <c r="K249" s="100"/>
      <c r="L249" s="96"/>
      <c r="M249" s="105"/>
      <c r="N249" s="92"/>
      <c r="P249" s="63"/>
      <c r="R249" s="70"/>
    </row>
    <row r="250" spans="1:18" s="2" customFormat="1" ht="18.95" customHeight="1">
      <c r="A250" s="11"/>
      <c r="B250" s="27"/>
      <c r="C250" s="95" t="s">
        <v>220</v>
      </c>
      <c r="D250" s="81">
        <v>20.65</v>
      </c>
      <c r="E250" s="81">
        <v>27.05</v>
      </c>
      <c r="F250" s="31">
        <v>0.23</v>
      </c>
      <c r="G250" s="108"/>
      <c r="H250" s="108"/>
      <c r="I250" s="13"/>
      <c r="J250" s="97"/>
      <c r="K250" s="97"/>
      <c r="L250" s="96"/>
      <c r="M250" s="25">
        <f>((J250*D250)+(K250*E250))</f>
        <v>0</v>
      </c>
      <c r="N250" s="92"/>
      <c r="P250" s="63"/>
      <c r="R250" s="70"/>
    </row>
    <row r="251" spans="1:18" s="2" customFormat="1" ht="18.95" customHeight="1">
      <c r="A251" s="11"/>
      <c r="B251" s="27"/>
      <c r="C251" s="95"/>
      <c r="D251" s="81"/>
      <c r="E251" s="81"/>
      <c r="F251" s="91"/>
      <c r="G251" s="108"/>
      <c r="H251" s="108"/>
      <c r="I251" s="13"/>
      <c r="J251" s="93" t="s">
        <v>259</v>
      </c>
      <c r="K251" s="93" t="s">
        <v>222</v>
      </c>
      <c r="L251" s="94"/>
      <c r="M251" s="105"/>
      <c r="N251" s="92"/>
      <c r="P251" s="63"/>
      <c r="R251" s="70"/>
    </row>
    <row r="252" spans="1:18" s="2" customFormat="1" ht="18.95" customHeight="1">
      <c r="A252" s="11"/>
      <c r="B252" s="27"/>
      <c r="C252" s="95" t="s">
        <v>221</v>
      </c>
      <c r="D252" s="81">
        <f>14.15*(1+F252)</f>
        <v>17.404499999999999</v>
      </c>
      <c r="E252" s="81">
        <v>27.05</v>
      </c>
      <c r="F252" s="31">
        <v>0.23</v>
      </c>
      <c r="G252" s="108"/>
      <c r="H252" s="108"/>
      <c r="I252" s="13"/>
      <c r="J252" s="97"/>
      <c r="K252" s="97"/>
      <c r="L252" s="96"/>
      <c r="M252" s="25">
        <f>((J252*D252)+(K252*E252))</f>
        <v>0</v>
      </c>
      <c r="N252" s="92"/>
      <c r="P252" s="63"/>
      <c r="R252" s="70"/>
    </row>
    <row r="253" spans="1:18" s="2" customFormat="1" ht="18.95" customHeight="1">
      <c r="A253" s="11"/>
      <c r="B253" s="27"/>
      <c r="C253" s="95"/>
      <c r="D253" s="77"/>
      <c r="E253" s="90"/>
      <c r="F253" s="91"/>
      <c r="G253" s="77"/>
      <c r="H253" s="108"/>
      <c r="I253" s="13"/>
      <c r="J253" s="93" t="s">
        <v>118</v>
      </c>
      <c r="K253" s="101"/>
      <c r="L253" s="96"/>
      <c r="M253" s="105"/>
      <c r="N253" s="92"/>
      <c r="P253" s="63"/>
      <c r="R253" s="70"/>
    </row>
    <row r="254" spans="1:18" s="2" customFormat="1" ht="40.5" customHeight="1">
      <c r="A254" s="11"/>
      <c r="B254" s="27"/>
      <c r="C254" s="111" t="s">
        <v>247</v>
      </c>
      <c r="D254" s="81">
        <v>51.5</v>
      </c>
      <c r="E254" s="90"/>
      <c r="F254" s="31">
        <v>0.23</v>
      </c>
      <c r="G254" s="108"/>
      <c r="H254" s="108"/>
      <c r="I254" s="13"/>
      <c r="J254" s="97"/>
      <c r="K254" s="102"/>
      <c r="L254" s="96"/>
      <c r="M254" s="25">
        <f>J254*D254</f>
        <v>0</v>
      </c>
      <c r="N254" s="92"/>
      <c r="P254" s="63"/>
      <c r="R254" s="70"/>
    </row>
    <row r="255" spans="1:18" s="2" customFormat="1" ht="4.5" customHeight="1">
      <c r="A255" s="11"/>
      <c r="B255" s="37"/>
      <c r="C255" s="47"/>
      <c r="D255" s="47"/>
      <c r="E255" s="48"/>
      <c r="F255" s="48"/>
      <c r="G255" s="48"/>
      <c r="H255" s="48"/>
      <c r="I255" s="48"/>
      <c r="J255" s="48"/>
      <c r="K255" s="48"/>
      <c r="L255" s="48"/>
      <c r="M255" s="48"/>
      <c r="N255" s="49"/>
    </row>
    <row r="256" spans="1:18" s="2" customFormat="1">
      <c r="A256" s="11"/>
      <c r="C256" s="13"/>
      <c r="D256" s="13"/>
      <c r="E256" s="19"/>
      <c r="F256" s="19"/>
      <c r="G256" s="18"/>
      <c r="H256" s="13"/>
      <c r="I256" s="13"/>
      <c r="J256" s="18"/>
      <c r="K256" s="13"/>
      <c r="L256" s="13"/>
      <c r="M256" s="13"/>
    </row>
    <row r="257" spans="1:13" s="7" customFormat="1" ht="21.75" customHeight="1">
      <c r="A257" s="12"/>
      <c r="C257" s="64"/>
      <c r="D257" s="64"/>
      <c r="E257" s="13"/>
      <c r="F257" s="20"/>
      <c r="G257" s="18"/>
      <c r="H257" s="13"/>
      <c r="I257" s="51" t="s">
        <v>4</v>
      </c>
      <c r="J257" s="52"/>
      <c r="K257" s="52"/>
      <c r="L257" s="53"/>
      <c r="M257" s="54">
        <f>SUM(M21:M254)</f>
        <v>0</v>
      </c>
    </row>
    <row r="258" spans="1:13" s="7" customFormat="1" ht="21.75" customHeight="1">
      <c r="A258" s="12"/>
      <c r="C258" s="64"/>
      <c r="D258" s="64"/>
      <c r="E258" s="13"/>
      <c r="F258" s="20"/>
      <c r="G258" s="18"/>
      <c r="H258" s="13"/>
      <c r="I258" s="51"/>
      <c r="J258" s="52"/>
      <c r="K258" s="52"/>
      <c r="L258" s="53"/>
      <c r="M258" s="80"/>
    </row>
    <row r="259" spans="1:13" s="9" customFormat="1" ht="20.25" customHeight="1">
      <c r="A259" s="10"/>
      <c r="C259" s="65"/>
      <c r="D259" s="65"/>
      <c r="E259" s="65"/>
      <c r="F259" s="65"/>
      <c r="G259" s="21"/>
      <c r="H259" s="21"/>
      <c r="I259" s="22"/>
      <c r="J259" s="22"/>
      <c r="K259" s="22"/>
      <c r="L259" s="22"/>
      <c r="M259" s="22"/>
    </row>
    <row r="260" spans="1:13" s="2" customFormat="1">
      <c r="A260" s="11"/>
      <c r="C260" s="127" t="s">
        <v>70</v>
      </c>
      <c r="D260" s="128"/>
      <c r="E260" s="128"/>
      <c r="F260" s="128"/>
      <c r="G260" s="128"/>
      <c r="H260" s="128"/>
      <c r="I260" s="128"/>
      <c r="J260" s="128"/>
      <c r="K260" s="128"/>
      <c r="L260" s="128"/>
      <c r="M260" s="128"/>
    </row>
    <row r="261" spans="1:13" s="2" customFormat="1">
      <c r="A261" s="11"/>
      <c r="C261" s="128"/>
      <c r="D261" s="128"/>
      <c r="E261" s="128"/>
      <c r="F261" s="128"/>
      <c r="G261" s="128"/>
      <c r="H261" s="128"/>
      <c r="I261" s="128"/>
      <c r="J261" s="128"/>
      <c r="K261" s="128"/>
      <c r="L261" s="128"/>
      <c r="M261" s="128"/>
    </row>
    <row r="262" spans="1:13" s="2" customFormat="1">
      <c r="A262" s="11"/>
      <c r="C262" s="128"/>
      <c r="D262" s="128"/>
      <c r="E262" s="128"/>
      <c r="F262" s="128"/>
      <c r="G262" s="128"/>
      <c r="H262" s="128"/>
      <c r="I262" s="128"/>
      <c r="J262" s="128"/>
      <c r="K262" s="128"/>
      <c r="L262" s="128"/>
      <c r="M262" s="128"/>
    </row>
    <row r="263" spans="1:13" s="2" customFormat="1">
      <c r="A263" s="11"/>
      <c r="C263" s="128"/>
      <c r="D263" s="128"/>
      <c r="E263" s="128"/>
      <c r="F263" s="128"/>
      <c r="G263" s="128"/>
      <c r="H263" s="128"/>
      <c r="I263" s="128"/>
      <c r="J263" s="128"/>
      <c r="K263" s="128"/>
      <c r="L263" s="128"/>
      <c r="M263" s="128"/>
    </row>
    <row r="264" spans="1:13" s="2" customFormat="1">
      <c r="A264" s="11"/>
      <c r="C264" s="128"/>
      <c r="D264" s="128"/>
      <c r="E264" s="128"/>
      <c r="F264" s="128"/>
      <c r="G264" s="128"/>
      <c r="H264" s="128"/>
      <c r="I264" s="128"/>
      <c r="J264" s="128"/>
      <c r="K264" s="128"/>
      <c r="L264" s="128"/>
      <c r="M264" s="128"/>
    </row>
    <row r="265" spans="1:13" s="2" customFormat="1">
      <c r="A265" s="11"/>
      <c r="C265" s="128"/>
      <c r="D265" s="128"/>
      <c r="E265" s="128"/>
      <c r="F265" s="128"/>
      <c r="G265" s="128"/>
      <c r="H265" s="128"/>
      <c r="I265" s="128"/>
      <c r="J265" s="128"/>
      <c r="K265" s="128"/>
      <c r="L265" s="128"/>
      <c r="M265" s="128"/>
    </row>
    <row r="266" spans="1:13" s="2" customFormat="1">
      <c r="A266" s="11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  <c r="M266" s="128"/>
    </row>
    <row r="267" spans="1:13" s="2" customFormat="1">
      <c r="A267" s="11"/>
      <c r="E267" s="8"/>
      <c r="F267" s="8"/>
    </row>
    <row r="268" spans="1:13" s="2" customFormat="1">
      <c r="A268" s="11"/>
      <c r="E268" s="8"/>
      <c r="F268" s="8"/>
    </row>
    <row r="269" spans="1:13" s="2" customFormat="1">
      <c r="A269" s="11"/>
      <c r="E269" s="8"/>
      <c r="F269" s="8"/>
    </row>
    <row r="270" spans="1:13" s="2" customFormat="1">
      <c r="A270" s="11"/>
      <c r="E270" s="8"/>
      <c r="F270" s="8"/>
    </row>
    <row r="271" spans="1:13" s="2" customFormat="1">
      <c r="A271" s="11"/>
      <c r="E271" s="8"/>
      <c r="F271" s="8"/>
    </row>
    <row r="272" spans="1:13" s="2" customFormat="1">
      <c r="A272" s="11"/>
      <c r="E272" s="8"/>
      <c r="F272" s="8"/>
    </row>
    <row r="273" spans="1:6" s="2" customFormat="1">
      <c r="A273" s="11"/>
      <c r="E273" s="8"/>
      <c r="F273" s="8"/>
    </row>
    <row r="274" spans="1:6" s="2" customFormat="1">
      <c r="A274" s="11"/>
      <c r="E274" s="8"/>
      <c r="F274" s="8"/>
    </row>
    <row r="275" spans="1:6" s="2" customFormat="1">
      <c r="A275" s="11"/>
      <c r="E275" s="8"/>
      <c r="F275" s="8"/>
    </row>
    <row r="276" spans="1:6" s="2" customFormat="1">
      <c r="A276" s="11"/>
      <c r="E276" s="8"/>
      <c r="F276" s="8"/>
    </row>
    <row r="277" spans="1:6" s="2" customFormat="1">
      <c r="A277" s="11"/>
      <c r="E277" s="8"/>
      <c r="F277" s="8"/>
    </row>
    <row r="278" spans="1:6" s="2" customFormat="1" ht="21">
      <c r="A278" s="11"/>
      <c r="D278" s="81">
        <f>9.5*(1+F278)</f>
        <v>10.734999999999999</v>
      </c>
      <c r="E278" s="81">
        <f>11.9*(1+F278)</f>
        <v>13.446999999999999</v>
      </c>
      <c r="F278" s="31">
        <v>0.13</v>
      </c>
    </row>
    <row r="279" spans="1:6" s="2" customFormat="1" ht="21">
      <c r="A279" s="11"/>
      <c r="D279" s="81">
        <f>12.7*(1+F279)</f>
        <v>14.350999999999997</v>
      </c>
      <c r="E279" s="81">
        <f>15.1*(1+F279)</f>
        <v>17.062999999999999</v>
      </c>
      <c r="F279" s="31">
        <v>0.13</v>
      </c>
    </row>
    <row r="280" spans="1:6" s="2" customFormat="1" ht="21">
      <c r="A280" s="11"/>
      <c r="D280" s="81">
        <f>19.1*(1+F280)</f>
        <v>21.582999999999998</v>
      </c>
      <c r="E280" s="106"/>
      <c r="F280" s="31">
        <v>0.13</v>
      </c>
    </row>
    <row r="281" spans="1:6" s="2" customFormat="1" ht="21">
      <c r="A281" s="11"/>
      <c r="D281" s="81">
        <f>11.1*(1+F281)</f>
        <v>12.542999999999999</v>
      </c>
      <c r="E281" s="81">
        <f>13.5*(1+F281)</f>
        <v>15.254999999999999</v>
      </c>
      <c r="F281" s="31">
        <v>0.13</v>
      </c>
    </row>
    <row r="282" spans="1:6" s="2" customFormat="1" ht="21">
      <c r="A282" s="11"/>
      <c r="D282" s="81">
        <f>15.65*(1+F282)</f>
        <v>17.6845</v>
      </c>
      <c r="E282" s="106"/>
      <c r="F282" s="31">
        <v>0.13</v>
      </c>
    </row>
    <row r="283" spans="1:6" s="2" customFormat="1" ht="21">
      <c r="A283" s="11"/>
      <c r="D283" s="81">
        <f>21.5* (1+F283)</f>
        <v>24.294999999999998</v>
      </c>
      <c r="E283" s="106"/>
      <c r="F283" s="31">
        <v>0.13</v>
      </c>
    </row>
    <row r="284" spans="1:6" s="2" customFormat="1" ht="21">
      <c r="A284" s="11"/>
      <c r="D284" s="81">
        <f>10.1*(1+F284)</f>
        <v>11.412999999999998</v>
      </c>
      <c r="E284" s="81">
        <f>12.5*(1+F284)</f>
        <v>14.124999999999998</v>
      </c>
      <c r="F284" s="31">
        <v>0.13</v>
      </c>
    </row>
    <row r="285" spans="1:6" s="2" customFormat="1" ht="21">
      <c r="A285" s="11"/>
      <c r="D285" s="81">
        <f>21.5*(1+F285)</f>
        <v>24.294999999999998</v>
      </c>
      <c r="E285" s="81"/>
      <c r="F285" s="31">
        <v>0.13</v>
      </c>
    </row>
    <row r="286" spans="1:6" s="2" customFormat="1" ht="21">
      <c r="A286" s="11"/>
      <c r="D286" s="81"/>
      <c r="E286" s="81"/>
      <c r="F286" s="91"/>
    </row>
    <row r="287" spans="1:6" s="2" customFormat="1" ht="21">
      <c r="A287" s="11"/>
      <c r="D287" s="81">
        <f>27.4*(1+F287)</f>
        <v>30.961999999999996</v>
      </c>
      <c r="E287" s="81">
        <f>30.55*(1+F287)</f>
        <v>34.521499999999996</v>
      </c>
      <c r="F287" s="31">
        <v>0.13</v>
      </c>
    </row>
    <row r="288" spans="1:6" s="2" customFormat="1" ht="21">
      <c r="A288" s="11"/>
      <c r="D288" s="81"/>
      <c r="E288" s="81"/>
      <c r="F288" s="91"/>
    </row>
    <row r="289" spans="1:6" s="2" customFormat="1" ht="21">
      <c r="A289" s="11"/>
      <c r="D289" s="81"/>
      <c r="E289" s="81"/>
      <c r="F289" s="91"/>
    </row>
    <row r="290" spans="1:6" s="2" customFormat="1" ht="21">
      <c r="A290" s="11"/>
      <c r="D290" s="81">
        <f>13.95*(1+F290)</f>
        <v>17.1585</v>
      </c>
      <c r="E290" s="81">
        <f>18.95*(1+F290)</f>
        <v>23.308499999999999</v>
      </c>
      <c r="F290" s="31">
        <v>0.23</v>
      </c>
    </row>
    <row r="291" spans="1:6" s="2" customFormat="1" ht="21">
      <c r="A291" s="11"/>
      <c r="D291" s="81"/>
      <c r="E291" s="81"/>
      <c r="F291" s="91"/>
    </row>
    <row r="292" spans="1:6" s="2" customFormat="1" ht="21">
      <c r="A292" s="11"/>
      <c r="D292" s="81">
        <f>16.8*(1+F292)</f>
        <v>20.664000000000001</v>
      </c>
      <c r="E292" s="81">
        <f>22*(1+F292)</f>
        <v>27.06</v>
      </c>
      <c r="F292" s="31">
        <v>0.23</v>
      </c>
    </row>
    <row r="293" spans="1:6" s="2" customFormat="1" ht="21">
      <c r="A293" s="11"/>
      <c r="D293" s="81"/>
      <c r="E293" s="81"/>
      <c r="F293" s="91"/>
    </row>
    <row r="294" spans="1:6" s="2" customFormat="1" ht="21">
      <c r="A294" s="11"/>
      <c r="D294" s="81">
        <f>14.15*(1+F294)</f>
        <v>17.404499999999999</v>
      </c>
      <c r="E294" s="81">
        <f>21.65*(1+F294)</f>
        <v>26.629499999999997</v>
      </c>
      <c r="F294" s="31">
        <v>0.23</v>
      </c>
    </row>
    <row r="295" spans="1:6" s="2" customFormat="1" ht="21">
      <c r="A295" s="11"/>
      <c r="D295" s="77"/>
      <c r="E295" s="90"/>
      <c r="F295" s="91"/>
    </row>
    <row r="296" spans="1:6" s="2" customFormat="1" ht="21">
      <c r="A296" s="11"/>
      <c r="D296" s="81">
        <f>41.85*(1+F296)</f>
        <v>51.475500000000004</v>
      </c>
      <c r="E296" s="90"/>
      <c r="F296" s="31">
        <v>0.23</v>
      </c>
    </row>
    <row r="297" spans="1:6" s="2" customFormat="1">
      <c r="A297" s="11"/>
      <c r="E297" s="8"/>
      <c r="F297" s="8"/>
    </row>
    <row r="298" spans="1:6" s="2" customFormat="1">
      <c r="A298" s="11"/>
      <c r="E298" s="8"/>
      <c r="F298" s="8"/>
    </row>
    <row r="299" spans="1:6" s="2" customFormat="1">
      <c r="A299" s="11"/>
      <c r="E299" s="8"/>
      <c r="F299" s="8"/>
    </row>
    <row r="300" spans="1:6" s="2" customFormat="1">
      <c r="A300" s="11"/>
      <c r="E300" s="8"/>
      <c r="F300" s="8"/>
    </row>
    <row r="301" spans="1:6" s="2" customFormat="1">
      <c r="A301" s="11"/>
      <c r="E301" s="8"/>
      <c r="F301" s="8"/>
    </row>
    <row r="302" spans="1:6" s="2" customFormat="1">
      <c r="A302" s="11"/>
      <c r="E302" s="8"/>
      <c r="F302" s="8"/>
    </row>
    <row r="303" spans="1:6" s="2" customFormat="1">
      <c r="A303" s="11"/>
      <c r="E303" s="8"/>
      <c r="F303" s="8"/>
    </row>
    <row r="304" spans="1:6" s="2" customFormat="1">
      <c r="A304" s="11"/>
      <c r="E304" s="8"/>
      <c r="F304" s="8"/>
    </row>
    <row r="305" spans="1:6" s="2" customFormat="1">
      <c r="A305" s="11"/>
      <c r="E305" s="8"/>
      <c r="F305" s="8"/>
    </row>
    <row r="306" spans="1:6" s="2" customFormat="1">
      <c r="A306" s="11"/>
      <c r="E306" s="8"/>
      <c r="F306" s="8"/>
    </row>
    <row r="307" spans="1:6" s="2" customFormat="1">
      <c r="A307" s="11"/>
      <c r="E307" s="8"/>
      <c r="F307" s="8"/>
    </row>
    <row r="308" spans="1:6" s="2" customFormat="1">
      <c r="A308" s="11"/>
      <c r="E308" s="8"/>
      <c r="F308" s="8"/>
    </row>
    <row r="309" spans="1:6" s="2" customFormat="1">
      <c r="A309" s="11"/>
      <c r="E309" s="8"/>
      <c r="F309" s="8"/>
    </row>
    <row r="310" spans="1:6" s="2" customFormat="1">
      <c r="A310" s="11"/>
      <c r="E310" s="8"/>
      <c r="F310" s="8"/>
    </row>
    <row r="311" spans="1:6" s="2" customFormat="1">
      <c r="A311" s="11"/>
      <c r="E311" s="8"/>
      <c r="F311" s="8"/>
    </row>
    <row r="312" spans="1:6" s="2" customFormat="1">
      <c r="A312" s="11"/>
      <c r="E312" s="8"/>
      <c r="F312" s="8"/>
    </row>
    <row r="313" spans="1:6" s="2" customFormat="1">
      <c r="A313" s="11"/>
      <c r="E313" s="8"/>
      <c r="F313" s="8"/>
    </row>
    <row r="314" spans="1:6" s="2" customFormat="1">
      <c r="A314" s="11"/>
      <c r="E314" s="8"/>
      <c r="F314" s="8"/>
    </row>
    <row r="315" spans="1:6" s="2" customFormat="1">
      <c r="A315" s="11"/>
      <c r="E315" s="8"/>
      <c r="F315" s="8"/>
    </row>
    <row r="316" spans="1:6" s="2" customFormat="1">
      <c r="A316" s="11"/>
      <c r="E316" s="8"/>
      <c r="F316" s="8"/>
    </row>
    <row r="317" spans="1:6" s="2" customFormat="1">
      <c r="A317" s="11"/>
      <c r="E317" s="8"/>
      <c r="F317" s="8"/>
    </row>
    <row r="318" spans="1:6" s="2" customFormat="1">
      <c r="A318" s="11"/>
      <c r="E318" s="8"/>
      <c r="F318" s="8"/>
    </row>
    <row r="319" spans="1:6" s="2" customFormat="1">
      <c r="A319" s="11"/>
      <c r="E319" s="8"/>
      <c r="F319" s="8"/>
    </row>
    <row r="320" spans="1:6" s="2" customFormat="1">
      <c r="A320" s="11"/>
      <c r="E320" s="8"/>
      <c r="F320" s="8"/>
    </row>
    <row r="321" spans="1:6" s="2" customFormat="1">
      <c r="A321" s="11"/>
      <c r="E321" s="8"/>
      <c r="F321" s="8"/>
    </row>
    <row r="322" spans="1:6" s="2" customFormat="1">
      <c r="A322" s="11"/>
      <c r="E322" s="8"/>
      <c r="F322" s="8"/>
    </row>
    <row r="323" spans="1:6" s="2" customFormat="1">
      <c r="A323" s="11"/>
      <c r="E323" s="8"/>
      <c r="F323" s="8"/>
    </row>
    <row r="324" spans="1:6" s="2" customFormat="1">
      <c r="A324" s="11"/>
      <c r="E324" s="8"/>
      <c r="F324" s="8"/>
    </row>
    <row r="325" spans="1:6" s="2" customFormat="1">
      <c r="A325" s="11"/>
      <c r="E325" s="8"/>
      <c r="F325" s="8"/>
    </row>
    <row r="326" spans="1:6" s="2" customFormat="1">
      <c r="A326" s="11"/>
      <c r="E326" s="8"/>
      <c r="F326" s="8"/>
    </row>
    <row r="327" spans="1:6" s="2" customFormat="1">
      <c r="A327" s="11"/>
      <c r="E327" s="8"/>
      <c r="F327" s="8"/>
    </row>
    <row r="328" spans="1:6" s="2" customFormat="1">
      <c r="A328" s="11"/>
      <c r="E328" s="8"/>
      <c r="F328" s="8"/>
    </row>
    <row r="329" spans="1:6" s="2" customFormat="1">
      <c r="A329" s="11"/>
      <c r="E329" s="8"/>
      <c r="F329" s="8"/>
    </row>
    <row r="330" spans="1:6" s="2" customFormat="1">
      <c r="A330" s="11"/>
      <c r="E330" s="8"/>
      <c r="F330" s="8"/>
    </row>
    <row r="331" spans="1:6" s="2" customFormat="1">
      <c r="A331" s="11"/>
      <c r="E331" s="8"/>
      <c r="F331" s="8"/>
    </row>
    <row r="332" spans="1:6" s="2" customFormat="1">
      <c r="A332" s="11"/>
      <c r="E332" s="8"/>
      <c r="F332" s="8"/>
    </row>
    <row r="333" spans="1:6" s="2" customFormat="1">
      <c r="A333" s="11"/>
      <c r="E333" s="8"/>
      <c r="F333" s="8"/>
    </row>
    <row r="334" spans="1:6" s="2" customFormat="1">
      <c r="A334" s="11"/>
      <c r="E334" s="8"/>
      <c r="F334" s="8"/>
    </row>
    <row r="335" spans="1:6" s="2" customFormat="1">
      <c r="A335" s="11"/>
      <c r="E335" s="8"/>
      <c r="F335" s="8"/>
    </row>
    <row r="336" spans="1:6" s="2" customFormat="1">
      <c r="A336" s="11"/>
      <c r="E336" s="8"/>
      <c r="F336" s="8"/>
    </row>
    <row r="337" spans="1:6" s="2" customFormat="1">
      <c r="A337" s="11"/>
      <c r="E337" s="8"/>
      <c r="F337" s="8"/>
    </row>
    <row r="338" spans="1:6" s="2" customFormat="1">
      <c r="A338" s="11"/>
      <c r="E338" s="8"/>
      <c r="F338" s="8"/>
    </row>
    <row r="339" spans="1:6" s="2" customFormat="1">
      <c r="A339" s="11"/>
      <c r="E339" s="8"/>
      <c r="F339" s="8"/>
    </row>
    <row r="340" spans="1:6" s="2" customFormat="1">
      <c r="A340" s="11"/>
      <c r="E340" s="8"/>
      <c r="F340" s="8"/>
    </row>
    <row r="341" spans="1:6" s="2" customFormat="1">
      <c r="A341" s="11"/>
      <c r="E341" s="8"/>
      <c r="F341" s="8"/>
    </row>
    <row r="342" spans="1:6" s="2" customFormat="1">
      <c r="A342" s="11"/>
      <c r="E342" s="8"/>
      <c r="F342" s="8"/>
    </row>
    <row r="343" spans="1:6" s="2" customFormat="1">
      <c r="A343" s="11"/>
      <c r="E343" s="8"/>
      <c r="F343" s="8"/>
    </row>
    <row r="344" spans="1:6" s="2" customFormat="1">
      <c r="A344" s="11"/>
      <c r="E344" s="8"/>
      <c r="F344" s="8"/>
    </row>
    <row r="345" spans="1:6" s="2" customFormat="1">
      <c r="A345" s="11"/>
      <c r="E345" s="8"/>
      <c r="F345" s="8"/>
    </row>
    <row r="346" spans="1:6" s="2" customFormat="1">
      <c r="A346" s="11"/>
      <c r="E346" s="8"/>
      <c r="F346" s="8"/>
    </row>
    <row r="347" spans="1:6" s="2" customFormat="1">
      <c r="A347" s="11"/>
      <c r="E347" s="8"/>
      <c r="F347" s="8"/>
    </row>
    <row r="348" spans="1:6" s="2" customFormat="1">
      <c r="A348" s="11"/>
      <c r="E348" s="8"/>
      <c r="F348" s="8"/>
    </row>
    <row r="349" spans="1:6" s="2" customFormat="1">
      <c r="A349" s="11"/>
      <c r="E349" s="8"/>
      <c r="F349" s="8"/>
    </row>
    <row r="350" spans="1:6" s="2" customFormat="1">
      <c r="A350" s="11"/>
      <c r="E350" s="8"/>
      <c r="F350" s="8"/>
    </row>
    <row r="351" spans="1:6" s="2" customFormat="1">
      <c r="A351" s="11"/>
      <c r="E351" s="8"/>
      <c r="F351" s="8"/>
    </row>
    <row r="352" spans="1:6" s="2" customFormat="1">
      <c r="A352" s="11"/>
      <c r="E352" s="8"/>
      <c r="F352" s="8"/>
    </row>
    <row r="353" spans="1:6" s="2" customFormat="1">
      <c r="A353" s="11"/>
      <c r="E353" s="8"/>
      <c r="F353" s="8"/>
    </row>
    <row r="354" spans="1:6" s="2" customFormat="1">
      <c r="A354" s="11"/>
      <c r="E354" s="8"/>
      <c r="F354" s="8"/>
    </row>
    <row r="355" spans="1:6" s="2" customFormat="1">
      <c r="A355" s="11"/>
      <c r="E355" s="8"/>
      <c r="F355" s="8"/>
    </row>
    <row r="356" spans="1:6" s="2" customFormat="1">
      <c r="A356" s="11"/>
      <c r="E356" s="8"/>
      <c r="F356" s="8"/>
    </row>
    <row r="357" spans="1:6" s="2" customFormat="1">
      <c r="A357" s="11"/>
      <c r="E357" s="8"/>
      <c r="F357" s="8"/>
    </row>
    <row r="358" spans="1:6" s="2" customFormat="1">
      <c r="A358" s="11"/>
      <c r="E358" s="8"/>
      <c r="F358" s="8"/>
    </row>
    <row r="359" spans="1:6" s="2" customFormat="1">
      <c r="A359" s="11"/>
      <c r="E359" s="8"/>
      <c r="F359" s="8"/>
    </row>
    <row r="360" spans="1:6" s="2" customFormat="1">
      <c r="A360" s="11"/>
      <c r="E360" s="8"/>
      <c r="F360" s="8"/>
    </row>
    <row r="361" spans="1:6" s="2" customFormat="1">
      <c r="A361" s="11"/>
      <c r="E361" s="8"/>
      <c r="F361" s="8"/>
    </row>
    <row r="362" spans="1:6" s="2" customFormat="1">
      <c r="A362" s="11"/>
      <c r="E362" s="8"/>
      <c r="F362" s="8"/>
    </row>
    <row r="363" spans="1:6" s="2" customFormat="1">
      <c r="A363" s="11"/>
      <c r="E363" s="8"/>
      <c r="F363" s="8"/>
    </row>
    <row r="364" spans="1:6" s="2" customFormat="1">
      <c r="A364" s="11"/>
      <c r="E364" s="8"/>
      <c r="F364" s="8"/>
    </row>
    <row r="365" spans="1:6" s="2" customFormat="1">
      <c r="A365" s="11"/>
      <c r="E365" s="8"/>
      <c r="F365" s="8"/>
    </row>
    <row r="366" spans="1:6" s="2" customFormat="1">
      <c r="A366" s="11"/>
      <c r="E366" s="8"/>
      <c r="F366" s="8"/>
    </row>
    <row r="367" spans="1:6" s="2" customFormat="1">
      <c r="A367" s="11"/>
      <c r="E367" s="8"/>
      <c r="F367" s="8"/>
    </row>
    <row r="368" spans="1:6" s="2" customFormat="1">
      <c r="A368" s="11"/>
      <c r="E368" s="8"/>
      <c r="F368" s="8"/>
    </row>
    <row r="369" spans="1:6" s="2" customFormat="1">
      <c r="A369" s="11"/>
      <c r="E369" s="8"/>
      <c r="F369" s="8"/>
    </row>
    <row r="370" spans="1:6" s="2" customFormat="1">
      <c r="A370" s="11"/>
      <c r="E370" s="8"/>
      <c r="F370" s="8"/>
    </row>
    <row r="371" spans="1:6" s="2" customFormat="1">
      <c r="A371" s="11"/>
      <c r="E371" s="8"/>
      <c r="F371" s="8"/>
    </row>
    <row r="372" spans="1:6" s="2" customFormat="1">
      <c r="A372" s="11"/>
      <c r="E372" s="8"/>
      <c r="F372" s="8"/>
    </row>
    <row r="373" spans="1:6" s="2" customFormat="1">
      <c r="A373" s="11"/>
      <c r="E373" s="8"/>
      <c r="F373" s="8"/>
    </row>
    <row r="374" spans="1:6" s="2" customFormat="1">
      <c r="A374" s="11"/>
      <c r="E374" s="8"/>
      <c r="F374" s="8"/>
    </row>
    <row r="375" spans="1:6" s="2" customFormat="1">
      <c r="A375" s="11"/>
      <c r="E375" s="8"/>
      <c r="F375" s="8"/>
    </row>
    <row r="376" spans="1:6" s="2" customFormat="1">
      <c r="A376" s="11"/>
      <c r="E376" s="8"/>
      <c r="F376" s="8"/>
    </row>
    <row r="377" spans="1:6" s="2" customFormat="1">
      <c r="A377" s="11"/>
      <c r="E377" s="8"/>
      <c r="F377" s="8"/>
    </row>
    <row r="378" spans="1:6" s="2" customFormat="1">
      <c r="A378" s="11"/>
      <c r="E378" s="8"/>
      <c r="F378" s="8"/>
    </row>
    <row r="379" spans="1:6" s="2" customFormat="1">
      <c r="A379" s="11"/>
      <c r="E379" s="8"/>
      <c r="F379" s="8"/>
    </row>
    <row r="380" spans="1:6" s="2" customFormat="1">
      <c r="A380" s="11"/>
      <c r="E380" s="8"/>
      <c r="F380" s="8"/>
    </row>
    <row r="381" spans="1:6" s="2" customFormat="1">
      <c r="A381" s="11"/>
      <c r="E381" s="8"/>
      <c r="F381" s="8"/>
    </row>
    <row r="382" spans="1:6" s="2" customFormat="1">
      <c r="A382" s="11"/>
      <c r="E382" s="8"/>
      <c r="F382" s="8"/>
    </row>
    <row r="383" spans="1:6" s="2" customFormat="1">
      <c r="A383" s="11"/>
      <c r="E383" s="8"/>
      <c r="F383" s="8"/>
    </row>
    <row r="384" spans="1:6" s="2" customFormat="1">
      <c r="A384" s="11"/>
      <c r="E384" s="8"/>
      <c r="F384" s="8"/>
    </row>
    <row r="385" spans="1:6" s="2" customFormat="1">
      <c r="A385" s="11"/>
      <c r="E385" s="8"/>
      <c r="F385" s="8"/>
    </row>
    <row r="386" spans="1:6" s="2" customFormat="1">
      <c r="A386" s="11"/>
      <c r="E386" s="8"/>
      <c r="F386" s="8"/>
    </row>
    <row r="387" spans="1:6" s="2" customFormat="1">
      <c r="A387" s="11"/>
      <c r="E387" s="8"/>
      <c r="F387" s="8"/>
    </row>
    <row r="388" spans="1:6" s="2" customFormat="1">
      <c r="A388" s="11"/>
      <c r="E388" s="8"/>
      <c r="F388" s="8"/>
    </row>
    <row r="389" spans="1:6" s="2" customFormat="1">
      <c r="A389" s="11"/>
      <c r="E389" s="8"/>
      <c r="F389" s="8"/>
    </row>
    <row r="390" spans="1:6" s="2" customFormat="1">
      <c r="A390" s="11"/>
      <c r="E390" s="8"/>
      <c r="F390" s="8"/>
    </row>
    <row r="391" spans="1:6" s="2" customFormat="1">
      <c r="A391" s="11"/>
      <c r="E391" s="8"/>
      <c r="F391" s="8"/>
    </row>
    <row r="392" spans="1:6" s="2" customFormat="1">
      <c r="A392" s="11"/>
      <c r="E392" s="8"/>
      <c r="F392" s="8"/>
    </row>
    <row r="393" spans="1:6" s="2" customFormat="1">
      <c r="A393" s="11"/>
      <c r="E393" s="8"/>
      <c r="F393" s="8"/>
    </row>
    <row r="394" spans="1:6" s="2" customFormat="1">
      <c r="A394" s="11"/>
      <c r="E394" s="8"/>
      <c r="F394" s="8"/>
    </row>
    <row r="395" spans="1:6" s="2" customFormat="1">
      <c r="A395" s="11"/>
      <c r="E395" s="8"/>
      <c r="F395" s="8"/>
    </row>
    <row r="396" spans="1:6" s="2" customFormat="1">
      <c r="A396" s="11"/>
      <c r="E396" s="8"/>
      <c r="F396" s="8"/>
    </row>
    <row r="397" spans="1:6" s="2" customFormat="1">
      <c r="A397" s="11"/>
      <c r="E397" s="8"/>
      <c r="F397" s="8"/>
    </row>
    <row r="398" spans="1:6" s="2" customFormat="1">
      <c r="A398" s="11"/>
      <c r="E398" s="8"/>
      <c r="F398" s="8"/>
    </row>
  </sheetData>
  <sheetProtection algorithmName="SHA-512" hashValue="MXBH2mYXLCf/ervGDaYPsXx2WYFs4gI0wQUthdoxiischX4SqnrnMXHhMsTOnbl32bUEMPsCVj6eKeRtW1aJPw==" saltValue="+B2ZhaszZsX3IK7PQQ8yJA==" spinCount="100000" sheet="1" selectLockedCells="1"/>
  <mergeCells count="39">
    <mergeCell ref="K14:L14"/>
    <mergeCell ref="B8:E8"/>
    <mergeCell ref="C172:C173"/>
    <mergeCell ref="E172:F173"/>
    <mergeCell ref="G172:H172"/>
    <mergeCell ref="E19:E20"/>
    <mergeCell ref="F19:F20"/>
    <mergeCell ref="C84:C85"/>
    <mergeCell ref="E84:F85"/>
    <mergeCell ref="G84:H84"/>
    <mergeCell ref="C113:C114"/>
    <mergeCell ref="E113:F114"/>
    <mergeCell ref="G113:H113"/>
    <mergeCell ref="G131:H131"/>
    <mergeCell ref="C260:M266"/>
    <mergeCell ref="C3:M4"/>
    <mergeCell ref="C131:C132"/>
    <mergeCell ref="E131:F132"/>
    <mergeCell ref="G19:H19"/>
    <mergeCell ref="B14:E14"/>
    <mergeCell ref="C19:C20"/>
    <mergeCell ref="C5:M5"/>
    <mergeCell ref="C6:M6"/>
    <mergeCell ref="G14:J14"/>
    <mergeCell ref="I12:M12"/>
    <mergeCell ref="B10:E10"/>
    <mergeCell ref="B12:E12"/>
    <mergeCell ref="B16:M16"/>
    <mergeCell ref="G10:M10"/>
    <mergeCell ref="G8:M8"/>
    <mergeCell ref="I208:J209"/>
    <mergeCell ref="G234:H235"/>
    <mergeCell ref="G246:H247"/>
    <mergeCell ref="E234:F235"/>
    <mergeCell ref="C234:C235"/>
    <mergeCell ref="C246:C247"/>
    <mergeCell ref="C208:C209"/>
    <mergeCell ref="E208:F209"/>
    <mergeCell ref="G208:H209"/>
  </mergeCells>
  <phoneticPr fontId="1" type="noConversion"/>
  <printOptions horizontalCentered="1" verticalCentered="1"/>
  <pageMargins left="0" right="0" top="0" bottom="0.15748031496062992" header="0" footer="0"/>
  <pageSetup paperSize="8" scale="41" fitToHeight="2" orientation="landscape" r:id="rId1"/>
  <headerFooter alignWithMargins="0">
    <oddFooter>&amp;R&amp;8Page &amp;P of &amp;N</oddFooter>
  </headerFooter>
  <ignoredErrors>
    <ignoredError sqref="M86 M38 M149:M150 M153 M51:M54 M61 M43 M206 M27 M49 M76 M89 M182 M30 M238 M34:M36 M242 M7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877BF8EE855A4CA4AEA9F5F7410153" ma:contentTypeVersion="7" ma:contentTypeDescription="Criar um novo documento." ma:contentTypeScope="" ma:versionID="83de6b19640b3e8e8a84bd73c8c93c76">
  <xsd:schema xmlns:xsd="http://www.w3.org/2001/XMLSchema" xmlns:xs="http://www.w3.org/2001/XMLSchema" xmlns:p="http://schemas.microsoft.com/office/2006/metadata/properties" xmlns:ns1="http://schemas.microsoft.com/sharepoint/v3" xmlns:ns3="a4d42720-2bfb-4ed2-97e8-f177ebb2b3fb" xmlns:ns4="843e585d-416a-48f5-8738-172c7569609b" targetNamespace="http://schemas.microsoft.com/office/2006/metadata/properties" ma:root="true" ma:fieldsID="8be3bc4b753b8e324f1c670970d9f3d1" ns1:_="" ns3:_="" ns4:_="">
    <xsd:import namespace="http://schemas.microsoft.com/sharepoint/v3"/>
    <xsd:import namespace="a4d42720-2bfb-4ed2-97e8-f177ebb2b3fb"/>
    <xsd:import namespace="843e585d-416a-48f5-8738-172c7569609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Ação de IU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42720-2bfb-4ed2-97e8-f177ebb2b3f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Sugestão de Partilha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3e585d-416a-48f5-8738-172c756960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A7D720-53FA-40B0-B2D7-B2473A4D1CAB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4d42720-2bfb-4ed2-97e8-f177ebb2b3fb"/>
    <ds:schemaRef ds:uri="http://schemas.microsoft.com/sharepoint/v3"/>
    <ds:schemaRef ds:uri="http://purl.org/dc/terms/"/>
    <ds:schemaRef ds:uri="843e585d-416a-48f5-8738-172c7569609b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D763305-A659-4C57-A0FF-5DD09FF760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42FE3A-8B82-4C17-8A15-0B9F4E4974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d42720-2bfb-4ed2-97e8-f177ebb2b3fb"/>
    <ds:schemaRef ds:uri="843e585d-416a-48f5-8738-172c756960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 de Preços_2021</vt:lpstr>
      <vt:lpstr>'Tabela de Preços_2021'!Print_Area</vt:lpstr>
    </vt:vector>
  </TitlesOfParts>
  <Company>Sogrape Vinhos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pinhalb</dc:creator>
  <cp:lastModifiedBy>Manuel Avides</cp:lastModifiedBy>
  <cp:lastPrinted>2020-09-25T11:05:34Z</cp:lastPrinted>
  <dcterms:created xsi:type="dcterms:W3CDTF">2006-11-09T10:59:04Z</dcterms:created>
  <dcterms:modified xsi:type="dcterms:W3CDTF">2021-11-18T17:56:53Z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-1845693057</vt:i4>
  </property>
  <property fmtid="{D5CDD505-2E9C-101B-9397-08002B2CF9AE}" pid="3" name="_NewReviewCycle">
    <vt:lpwstr/>
  </property>
  <property fmtid="{D5CDD505-2E9C-101B-9397-08002B2CF9AE}" pid="4" name="_EmailSubject">
    <vt:lpwstr>CATALOGO DE NATAL 2021</vt:lpwstr>
  </property>
  <property fmtid="{D5CDD505-2E9C-101B-9397-08002B2CF9AE}" pid="5" name="_AuthorEmail">
    <vt:lpwstr>Manuel.Avides@sogrape.pt</vt:lpwstr>
  </property>
  <property fmtid="{D5CDD505-2E9C-101B-9397-08002B2CF9AE}" pid="6" name="_AuthorEmailDisplayName">
    <vt:lpwstr>Manuel Avides</vt:lpwstr>
  </property>
  <property fmtid="{D5CDD505-2E9C-101B-9397-08002B2CF9AE}" pid="7" name="_PreviousAdHocReviewCycleID">
    <vt:i4>-1662190471</vt:i4>
  </property>
  <property fmtid="{D5CDD505-2E9C-101B-9397-08002B2CF9AE}" pid="8" name="ContentTypeId">
    <vt:lpwstr>0x01010066877BF8EE855A4CA4AEA9F5F7410153</vt:lpwstr>
  </property>
  <property fmtid="{D5CDD505-2E9C-101B-9397-08002B2CF9AE}" pid="9" name="MSIP_Label_ff1eda69-e03a-4156-b495-51c634f6687d_Enabled">
    <vt:lpwstr>True</vt:lpwstr>
  </property>
  <property fmtid="{D5CDD505-2E9C-101B-9397-08002B2CF9AE}" pid="10" name="MSIP_Label_ff1eda69-e03a-4156-b495-51c634f6687d_SiteId">
    <vt:lpwstr>d14bc227-42e9-426c-86cc-0f1efb561a07</vt:lpwstr>
  </property>
  <property fmtid="{D5CDD505-2E9C-101B-9397-08002B2CF9AE}" pid="11" name="MSIP_Label_ff1eda69-e03a-4156-b495-51c634f6687d_Owner">
    <vt:lpwstr>Manuel.Avides@sogrape.pt</vt:lpwstr>
  </property>
  <property fmtid="{D5CDD505-2E9C-101B-9397-08002B2CF9AE}" pid="12" name="MSIP_Label_ff1eda69-e03a-4156-b495-51c634f6687d_SetDate">
    <vt:lpwstr>2021-09-01T16:30:50.9677428Z</vt:lpwstr>
  </property>
  <property fmtid="{D5CDD505-2E9C-101B-9397-08002B2CF9AE}" pid="13" name="MSIP_Label_ff1eda69-e03a-4156-b495-51c634f6687d_Name">
    <vt:lpwstr>General</vt:lpwstr>
  </property>
  <property fmtid="{D5CDD505-2E9C-101B-9397-08002B2CF9AE}" pid="14" name="MSIP_Label_ff1eda69-e03a-4156-b495-51c634f6687d_Application">
    <vt:lpwstr>Microsoft Azure Information Protection</vt:lpwstr>
  </property>
  <property fmtid="{D5CDD505-2E9C-101B-9397-08002B2CF9AE}" pid="15" name="MSIP_Label_ff1eda69-e03a-4156-b495-51c634f6687d_ActionId">
    <vt:lpwstr>38b80483-fbaf-4995-a22e-ce77a51948b1</vt:lpwstr>
  </property>
  <property fmtid="{D5CDD505-2E9C-101B-9397-08002B2CF9AE}" pid="16" name="MSIP_Label_ff1eda69-e03a-4156-b495-51c634f6687d_Extended_MSFT_Method">
    <vt:lpwstr>Automatic</vt:lpwstr>
  </property>
  <property fmtid="{D5CDD505-2E9C-101B-9397-08002B2CF9AE}" pid="17" name="Sensitivity">
    <vt:lpwstr>General</vt:lpwstr>
  </property>
</Properties>
</file>